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1"/>
  </bookViews>
  <sheets>
    <sheet name="main" sheetId="1" r:id="rId1"/>
    <sheet name="details du calcul" sheetId="2" r:id="rId2"/>
    <sheet name="biblio" sheetId="3" r:id="rId3"/>
  </sheets>
  <definedNames/>
  <calcPr fullCalcOnLoad="1"/>
</workbook>
</file>

<file path=xl/sharedStrings.xml><?xml version="1.0" encoding="utf-8"?>
<sst xmlns="http://schemas.openxmlformats.org/spreadsheetml/2006/main" count="313" uniqueCount="269">
  <si>
    <t>TOUTES LES DONNEES SONT EXPRIMEES PAR PERSONNE</t>
  </si>
  <si>
    <t>voir l'onglet « détails du calcul »</t>
  </si>
  <si>
    <t>km, #</t>
  </si>
  <si>
    <t>total kg CO2</t>
  </si>
  <si>
    <t>TRANSPORT</t>
  </si>
  <si>
    <t>déduit:</t>
  </si>
  <si>
    <t>km</t>
  </si>
  <si>
    <t>kgCO2/100km/pers</t>
  </si>
  <si>
    <t>avion</t>
  </si>
  <si>
    <t>Hanoi-Tokyo A330 (4,6h) 3700km</t>
  </si>
  <si>
    <t>*1</t>
  </si>
  <si>
    <t xml:space="preserve">Tokyo-JFK B747 (12,8h), 10800km  </t>
  </si>
  <si>
    <t>JFK-Guayaquil B767 (6,7h) 4800km</t>
  </si>
  <si>
    <t>h</t>
  </si>
  <si>
    <t>kgCO2/100km/pers.</t>
  </si>
  <si>
    <t>minivan individuel</t>
  </si>
  <si>
    <t>Bolivie</t>
  </si>
  <si>
    <t>consommation estimée 20L/100km, 2 pass</t>
  </si>
  <si>
    <t>voiture</t>
  </si>
  <si>
    <t>Thailande, Equateur, Chili, Argentine</t>
  </si>
  <si>
    <t>consommation estimée 8L/100km, 2 pass (parfois 4)</t>
  </si>
  <si>
    <t>bus 40-50 places</t>
  </si>
  <si>
    <t>Europe, Laos, Camb, Vietn, Equ, P, Bol, Ch, Arg</t>
  </si>
  <si>
    <t>estimée 40L/100km, avec en moyenne 30 personnes dedans.</t>
  </si>
  <si>
    <t>bus 10-20 places</t>
  </si>
  <si>
    <t>Mongolie, Laos, Pérou</t>
  </si>
  <si>
    <t>estimée 25L/100km, avec en moyenne 10 personnes dedans.</t>
  </si>
  <si>
    <t>collectivo (minivan collectif)</t>
  </si>
  <si>
    <t>Pérou, Bolivie</t>
  </si>
  <si>
    <t>estimée 20L/100km, avec en moyenne 10 personnes dedans.</t>
  </si>
  <si>
    <t>tuktuk</t>
  </si>
  <si>
    <t>Cambodge</t>
  </si>
  <si>
    <t>estimée 7L/100km, 2 pass</t>
  </si>
  <si>
    <t>scooter</t>
  </si>
  <si>
    <t>Laos, Thailande, Vietnam</t>
  </si>
  <si>
    <t>estimée 5L/100km, 2 pass</t>
  </si>
  <si>
    <t>train Russie, Chine</t>
  </si>
  <si>
    <t>Russie, Mongolie, Chine, Thailande, Vietnam</t>
  </si>
  <si>
    <t>*3</t>
  </si>
  <si>
    <t>calcul basé sur le nombre d'heures. Les valeurs au kilomètres en sont déduites</t>
  </si>
  <si>
    <t>ferry</t>
  </si>
  <si>
    <t>Chine, Pérou, Thailande, Argentine</t>
  </si>
  <si>
    <t>kgCO2/h/pers.</t>
  </si>
  <si>
    <t>petit bateau</t>
  </si>
  <si>
    <t>Equateur/Pérou, Bolivie, Chili</t>
  </si>
  <si>
    <t>* 4</t>
  </si>
  <si>
    <t>vélo</t>
  </si>
  <si>
    <t>hors coût de fabrication etc.</t>
  </si>
  <si>
    <t>camion stop</t>
  </si>
  <si>
    <t xml:space="preserve">non prise en compte de l'augmentation de la consommation </t>
  </si>
  <si>
    <t>Argentine</t>
  </si>
  <si>
    <t>liée à notre présence dans le véhicule, plus lourd</t>
  </si>
  <si>
    <t>voiture stop</t>
  </si>
  <si>
    <t>Argentine, Chili</t>
  </si>
  <si>
    <t>kg équivalent carbone</t>
  </si>
  <si>
    <t>TOUT</t>
  </si>
  <si>
    <t>ss avion</t>
  </si>
  <si>
    <t>1 eq C = 3.67 eq CO2</t>
  </si>
  <si>
    <t>LOGEMENT</t>
  </si>
  <si>
    <t># jours</t>
  </si>
  <si>
    <t>KWh / jour</t>
  </si>
  <si>
    <t>kWh total</t>
  </si>
  <si>
    <t>chauffage / eau chaude / électricité</t>
  </si>
  <si>
    <t>Russie, Mongolie, Chine (-&gt; 10 mars)</t>
  </si>
  <si>
    <t>Chauffage estimé à 30kWh/jour chacun (difficile à estimer…)</t>
  </si>
  <si>
    <t>ailleurs sans camping</t>
  </si>
  <si>
    <t>Utilisation plaques électriques, chargeur, électricité dans restaurants</t>
  </si>
  <si>
    <t>camping</t>
  </si>
  <si>
    <t>ALIMENTATION</t>
  </si>
  <si>
    <t>kgCO2/jour/pers.</t>
  </si>
  <si>
    <t>en ville</t>
  </si>
  <si>
    <t>cf menu dans « détails du calcul »</t>
  </si>
  <si>
    <t>mode camping AmSud</t>
  </si>
  <si>
    <t>ACHATS MATERIEL</t>
  </si>
  <si>
    <t>Quasiment aucun achat de matériel…</t>
  </si>
  <si>
    <t>DECHETS</t>
  </si>
  <si>
    <t>kg/j</t>
  </si>
  <si>
    <t>kg/an</t>
  </si>
  <si>
    <t>kgCO2/kg déchet</t>
  </si>
  <si>
    <t>Estimation à la louche, avec une composition à la louche et un traitement inconnu bien souvent</t>
  </si>
  <si>
    <t>GRAND TOTAL</t>
  </si>
  <si>
    <t>PAR PERSONNE</t>
  </si>
  <si>
    <t>ANNEE 2014</t>
  </si>
  <si>
    <t>COMPARAISON AVEC ELEMENTS INDIVIDUELS</t>
  </si>
  <si>
    <t>9000kg:</t>
  </si>
  <si>
    <t>6 AR Paris-NYC</t>
  </si>
  <si>
    <t>kWh en France</t>
  </si>
  <si>
    <t>soit</t>
  </si>
  <si>
    <t>ans de consommation électrique par personne</t>
  </si>
  <si>
    <t>kWh au UK</t>
  </si>
  <si>
    <t>PCs écran plat</t>
  </si>
  <si>
    <t>km en ville en voiture</t>
  </si>
  <si>
    <t>COMPARAISON AVEC CONSOMMATION ACTUELLE</t>
  </si>
  <si>
    <t>http://www.manicore.com/documentation/serre/jancovici.html</t>
  </si>
  <si>
    <t>maisonnée</t>
  </si>
  <si>
    <t>http://www.manicore.com/documentation/serre/GES.html</t>
  </si>
  <si>
    <t>émissions totale France</t>
  </si>
  <si>
    <t>US</t>
  </si>
  <si>
    <t>19000kg/an/pers</t>
  </si>
  <si>
    <t>Allemagne, Japon</t>
  </si>
  <si>
    <t>9800 kg/an/pers</t>
  </si>
  <si>
    <t>&lt;- avec avion</t>
  </si>
  <si>
    <t>France, Suisse</t>
  </si>
  <si>
    <t>6000kg/an/pers</t>
  </si>
  <si>
    <t>&lt;- ss avion</t>
  </si>
  <si>
    <t>Thailande</t>
  </si>
  <si>
    <t>3500kg/an/pers</t>
  </si>
  <si>
    <t>Vietnam</t>
  </si>
  <si>
    <t>1400kg/an/pers</t>
  </si>
  <si>
    <t>Bengladesh</t>
  </si>
  <si>
    <t>300kg/an/pers</t>
  </si>
  <si>
    <t>COMPARAISON AVEC IDEAL</t>
  </si>
  <si>
    <t>http://www.manicore.com/documentation/serre/quota_GES.html</t>
  </si>
  <si>
    <t>objectif:</t>
  </si>
  <si>
    <t>1640kg CO2/an</t>
  </si>
  <si>
    <r>
      <t xml:space="preserve">Calcul réalisé via </t>
    </r>
    <r>
      <rPr>
        <b/>
        <sz val="12"/>
        <color indexed="8"/>
        <rFont val="Calibri"/>
        <family val="2"/>
      </rPr>
      <t>https://co2.myclimate.org</t>
    </r>
  </si>
  <si>
    <t>Détail du calcul sur ce document : http://www.myclimate.org/fileadmin/myc/files_myc_perf/12_flight_calculator_documentation_EN.pdf</t>
  </si>
  <si>
    <t>Dans la fourchette donnée par d'autres calculateurs:</t>
  </si>
  <si>
    <t>source</t>
  </si>
  <si>
    <t>chiffres-carbone.fr</t>
  </si>
  <si>
    <t>http://www.carbonneutralcalculator.com</t>
  </si>
  <si>
    <t>http://www.travelnav.com</t>
  </si>
  <si>
    <t>http://calculator.carbonfootprint.com</t>
  </si>
  <si>
    <t>unité</t>
  </si>
  <si>
    <t>kg CO2</t>
  </si>
  <si>
    <t>38,9kmCO2/100km</t>
  </si>
  <si>
    <t>sans forçage</t>
  </si>
  <si>
    <t>avec forçage</t>
  </si>
  <si>
    <t>Hanoi-Tokyo</t>
  </si>
  <si>
    <t>Toyko-JFK</t>
  </si>
  <si>
    <t>JFK-Guayaquil</t>
  </si>
  <si>
    <t>460 (??)</t>
  </si>
  <si>
    <t>Jancovici (cf biblio) donne avec le facteur d'altitude</t>
  </si>
  <si>
    <t>Pour info, affaires/economique=2,9</t>
  </si>
  <si>
    <t>http://voyage.chiffres-carbone.fr/</t>
  </si>
  <si>
    <t>Calcul du contenu CO2 d'un litre d'essence:</t>
  </si>
  <si>
    <t>calculateur:</t>
  </si>
  <si>
    <t>basé sur http://forums.futura-sciences.com/environnement-developpement-durable-ecologie/115544-calcul-rejet-g-co2-km.html</t>
  </si>
  <si>
    <t>L/100km</t>
  </si>
  <si>
    <t>très très proche de ce qui est donné par http://calculator.carbonfootprint.com/calculator.aspx?tab=4</t>
  </si>
  <si>
    <t>masse volumique</t>
  </si>
  <si>
    <t>rapport molaire</t>
  </si>
  <si>
    <t>kg CO2 / 100km</t>
  </si>
  <si>
    <t>http://www.engineeringtoolbox.com/co2-emission-fuels-d_1085.html</t>
  </si>
  <si>
    <t>puissance de la loco</t>
  </si>
  <si>
    <t>kgCO2/kWh</t>
  </si>
  <si>
    <t>heat loss</t>
  </si>
  <si>
    <t>kgCO2/kWh eff</t>
  </si>
  <si>
    <t>kgCO2/hour</t>
  </si>
  <si>
    <t># passagers</t>
  </si>
  <si>
    <t>kgCO2 chacun</t>
  </si>
  <si>
    <t>VL60pk (ВЛ60пк)</t>
  </si>
  <si>
    <t>https://ru.wikipedia.org/wiki/ВЛ60</t>
  </si>
  <si>
    <t>3600kW</t>
  </si>
  <si>
    <t>http://trainspo.com/model/1816/</t>
  </si>
  <si>
    <t>TE10</t>
  </si>
  <si>
    <t>http://en.wikipedia.org/wiki/TE10</t>
  </si>
  <si>
    <t>2000kW</t>
  </si>
  <si>
    <t>moyenne</t>
  </si>
  <si>
    <t>moyenne transsiberien</t>
  </si>
  <si>
    <t>km/h</t>
  </si>
  <si>
    <t>pour info en Europe :</t>
  </si>
  <si>
    <t>détails :</t>
  </si>
  <si>
    <t>http://ecopassenger.hafas.de/hafas-res/download/Ecopassenger_Methodology_Report.pdf</t>
  </si>
  <si>
    <t xml:space="preserve">train ("normally crowded"): </t>
  </si>
  <si>
    <t>Allemagne</t>
  </si>
  <si>
    <t>kg CO2/100km</t>
  </si>
  <si>
    <t>Pologne</t>
  </si>
  <si>
    <t>Roumanie</t>
  </si>
  <si>
    <t>http://chiffres-carbone.fr/facteurs-emission-calculette-voyage/</t>
  </si>
  <si>
    <t>DONNEES UK</t>
  </si>
  <si>
    <t>https://ig-tools.com/files/2014_Conversion_Factors.pdf</t>
  </si>
  <si>
    <t>donne gCO2 pour diverses choses:</t>
  </si>
  <si>
    <t>UK</t>
  </si>
  <si>
    <t>électricité</t>
  </si>
  <si>
    <t>0,54 kg CO2/kWh</t>
  </si>
  <si>
    <t>déchets</t>
  </si>
  <si>
    <t>0,289 kgCO2/kg</t>
  </si>
  <si>
    <t>water supply</t>
  </si>
  <si>
    <t>0,344 kg CO2/m3</t>
  </si>
  <si>
    <t>water treatment</t>
  </si>
  <si>
    <t>0,709 kg CO2/m3</t>
  </si>
  <si>
    <t>autour de 20 kg CO2/100km</t>
  </si>
  <si>
    <t>train</t>
  </si>
  <si>
    <t>4,7 kg/CO2/100km/pass</t>
  </si>
  <si>
    <t>métro</t>
  </si>
  <si>
    <t>6kg/CO2/100km/pass</t>
  </si>
  <si>
    <t>avion shorthaul</t>
  </si>
  <si>
    <t>avion longhaul</t>
  </si>
  <si>
    <t>moto</t>
  </si>
  <si>
    <t xml:space="preserve">minibus </t>
  </si>
  <si>
    <t>coach</t>
  </si>
  <si>
    <t>nuit hôtel</t>
  </si>
  <si>
    <t>32 kg/chambre/nuit</t>
  </si>
  <si>
    <t>*4</t>
  </si>
  <si>
    <t>300CV: 21l/h</t>
  </si>
  <si>
    <t>150: 15l</t>
  </si>
  <si>
    <t>100CV: 12l</t>
  </si>
  <si>
    <t>50CV: 7l</t>
  </si>
  <si>
    <t>CHAUFFAGE:</t>
  </si>
  <si>
    <t>consommation électrique:</t>
  </si>
  <si>
    <t>chauffage largement prédominant en Russie et Mongolie, estimé à 30kWh par jour.</t>
  </si>
  <si>
    <t>+</t>
  </si>
  <si>
    <t>kg CO2/kWh</t>
  </si>
  <si>
    <t>cf http://www.manicore.com/documentation/serre/jancovici.html</t>
  </si>
  <si>
    <t>http://www.ecoco2.com/blog/elevage</t>
  </si>
  <si>
    <t>1 kg de pommes de terre produit 0,23 kg équivalent CO2, soit un trajet de 2 km dans une voiture consommant 5 litres/100 km, - See more at: http://www.ecoco2.com/blog/elevage#sthash.89112qWm.dpuf</t>
  </si>
  <si>
    <t>1 kg de pommes, 0,30 keCO2, soit 2,46 km,</t>
  </si>
  <si>
    <t>1 kg d’asperges, 0,4 keCO2, soit 3,3 km,</t>
  </si>
  <si>
    <t>1 kg de poulet, 1,1 keCO2, soit 8,9 km,</t>
  </si>
  <si>
    <t>1 kg de porc, 3,8 keCO2, soit 31,1 km</t>
  </si>
  <si>
    <t>1 kg de bœuf, 14,83 keCO2, soit 121,2 km.</t>
  </si>
  <si>
    <t>EN VILLE</t>
  </si>
  <si>
    <t>Aliments</t>
  </si>
  <si>
    <t>kg consommés /j</t>
  </si>
  <si>
    <t>grammes équ. carbone par kg d'aliments</t>
  </si>
  <si>
    <t>kg équ. carbone</t>
  </si>
  <si>
    <t>Pain, pâtes et riz</t>
  </si>
  <si>
    <t>Fruits et légumes</t>
  </si>
  <si>
    <t>Boeuf</t>
  </si>
  <si>
    <t>Patates</t>
  </si>
  <si>
    <t>Mouton</t>
  </si>
  <si>
    <t>Cochon</t>
  </si>
  <si>
    <t>Poulet</t>
  </si>
  <si>
    <t>Beurre</t>
  </si>
  <si>
    <t>Yaourts</t>
  </si>
  <si>
    <t>Canard</t>
  </si>
  <si>
    <t>Oeufs</t>
  </si>
  <si>
    <t>Poisson</t>
  </si>
  <si>
    <t>Total</t>
  </si>
  <si>
    <t>CAMPING</t>
  </si>
  <si>
    <t>Patate</t>
  </si>
  <si>
    <t>Céréales</t>
  </si>
  <si>
    <t>ESTIMATION A LA LOUCHE</t>
  </si>
  <si>
    <t>Avoine</t>
  </si>
  <si>
    <t>Barres céréales</t>
  </si>
  <si>
    <t>Essence réchaud</t>
  </si>
  <si>
    <t>WASTE</t>
  </si>
  <si>
    <t>Defra</t>
  </si>
  <si>
    <t>cf + haut</t>
  </si>
  <si>
    <t>Jancovici:</t>
  </si>
  <si>
    <t>cf http://www.manicore.com/documentation/serre/dechets.html</t>
  </si>
  <si>
    <t>simulation 1 an circulation CO2</t>
  </si>
  <si>
    <t>https://www.youtube.com/watch?v=x1SgmFa0r04#t=90</t>
  </si>
  <si>
    <t>EXPLICATIONS EQUIVALENT CO2 / CARBONE</t>
  </si>
  <si>
    <t>http://chiffres-carbone.fr/kilogramme-equivalent-carbone-kesaco/</t>
  </si>
  <si>
    <r>
      <t xml:space="preserve">Le réchauffement climatique est la conséquence de l’effet de serre provoqué par certains gaz. Le plus connu est le CO2, mais il est loin d’être le seul à participer à l’effet de serre. Pour une même quantité émise dans l’atmosphère, </t>
    </r>
    <r>
      <rPr>
        <b/>
        <sz val="12"/>
        <color indexed="8"/>
        <rFont val="Calibri"/>
        <family val="2"/>
      </rPr>
      <t>chaque gaz produit un effet de serre plus ou moins puissant</t>
    </r>
    <r>
      <rPr>
        <sz val="12"/>
        <color indexed="8"/>
        <rFont val="Calibri"/>
        <family val="2"/>
      </rPr>
      <t>. Comment comparer l’impact de 10 kg de CO2 et de 10 kg de méthane (CH4) ?</t>
    </r>
  </si>
  <si>
    <r>
      <t xml:space="preserve">Il y a deux unités utilisées : le </t>
    </r>
    <r>
      <rPr>
        <i/>
        <sz val="12"/>
        <color indexed="8"/>
        <rFont val="Calibri"/>
        <family val="2"/>
      </rPr>
      <t>kilogramme équivalent carbone</t>
    </r>
    <r>
      <rPr>
        <sz val="12"/>
        <color indexed="8"/>
        <rFont val="Calibri"/>
        <family val="2"/>
      </rPr>
      <t xml:space="preserve"> et le</t>
    </r>
    <r>
      <rPr>
        <i/>
        <sz val="12"/>
        <color indexed="8"/>
        <rFont val="Calibri"/>
        <family val="2"/>
      </rPr>
      <t xml:space="preserve"> kilogramme équivalent CO2.</t>
    </r>
  </si>
  <si>
    <r>
      <t xml:space="preserve">L’impact sur l’effet de serre se calcule à l’aide du PRG : </t>
    </r>
    <r>
      <rPr>
        <b/>
        <sz val="12"/>
        <color indexed="8"/>
        <rFont val="Calibri"/>
        <family val="2"/>
      </rPr>
      <t>Pouvoir de Réchauffement Global</t>
    </r>
    <r>
      <rPr>
        <sz val="12"/>
        <color indexed="8"/>
        <rFont val="Calibri"/>
        <family val="2"/>
      </rPr>
      <t xml:space="preserve"> (voir tableau ci-dessous). Le PRG représente en quelque sorte « la puissance de réchauffement climatique » du gaz, plus il est élevé, plus le gaz va contribuer fortement au réchauffement climatique. Comme nous voulons obtenir des kg équivalent CO2, on rapporte le pouvoir de réchauffement des autres gaz à celui du CO2. Le PRG du CO2 est donc fixé à 1, car 1 kg de CO2 = 1 kg équivalent CO2.</t>
    </r>
  </si>
  <si>
    <r>
      <t xml:space="preserve">Au final, pour calculer l’impact, il faut multiplier la quantité de gaz émis par son PRG. Le résultat est obtenu en </t>
    </r>
    <r>
      <rPr>
        <b/>
        <sz val="12"/>
        <color indexed="8"/>
        <rFont val="Calibri"/>
        <family val="2"/>
      </rPr>
      <t>kilogramme équivalent CO2</t>
    </r>
    <r>
      <rPr>
        <sz val="12"/>
        <color indexed="8"/>
        <rFont val="Calibri"/>
        <family val="2"/>
      </rPr>
      <t>.</t>
    </r>
  </si>
  <si>
    <t>Par exemple, le PRG du méthane est de 21, c’est-à-dire qu’il a un pouvoir de réchauffement climatique 21 fois supérieur à celui du CO2. Une entité rejetant une tonne de méthane se verra donc imputer 21 tonnes équivalent CO2 dans son bilan d’émissions de gaz à effet de serre.</t>
  </si>
  <si>
    <r>
      <t xml:space="preserve">Comme nous l’avons dit plus haut, il est aussi possible d’exprimer l’émission en </t>
    </r>
    <r>
      <rPr>
        <b/>
        <sz val="12"/>
        <color indexed="8"/>
        <rFont val="Calibri"/>
        <family val="2"/>
      </rPr>
      <t>kg équivalent carbone</t>
    </r>
    <r>
      <rPr>
        <sz val="12"/>
        <color indexed="8"/>
        <rFont val="Calibri"/>
        <family val="2"/>
      </rPr>
      <t>. Cette fois-ci, au lieu de prendre comme référence un gaz (le CO2), on prend comme référence l’atome de carbone.</t>
    </r>
  </si>
  <si>
    <t>Pour obtenir une émission en kg équivalent carbone, il faut donc réaliser un rapport de masse molaire. Le carbone a une masse molaire égale à 12, le CO2 a une masse molaire de 44 (CO2 = 12 + 16 × 2 = 44). Ainsi, une émission exprimée en kg équivalent CO2 sera multipliée par 44 et divisée par 12.</t>
  </si>
  <si>
    <t>Nom du gaz à effet de serre</t>
  </si>
  <si>
    <t>Pouvoir de réchauffement global</t>
  </si>
  <si>
    <t>(à 100 ans)</t>
  </si>
  <si>
    <t>Dioxyde de carbone (CO2)</t>
  </si>
  <si>
    <t>Méthane (CH4)</t>
  </si>
  <si>
    <t>Oxyde nitreux, protoxyde d’azote (N2O)</t>
  </si>
  <si>
    <t>Hydrofluorocarbures (HFC) (moyenne)</t>
  </si>
  <si>
    <t>Perfluorocarbures (PFC) (moyenne, hors SF6)</t>
  </si>
  <si>
    <t>7 850</t>
  </si>
  <si>
    <t>Hexafluorure de soufre (SF6)</t>
  </si>
  <si>
    <t>23 900</t>
  </si>
  <si>
    <t xml:space="preserve">Details supplémentaires (graphe </t>
  </si>
  <si>
    <t>http://www.manicore.com/documentation/articles/palais_mai2001.html</t>
  </si>
  <si>
    <t>électricité en France:</t>
  </si>
  <si>
    <t>1kWh produit 100g CO2</t>
  </si>
  <si>
    <t>http://www.presse.ademe.fr/2015/03/rediff-changement-dheure-quels-impacts.html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</si>
</sst>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"/>
    <numFmt numFmtId="167" formatCode="0"/>
    <numFmt numFmtId="168" formatCode="0.00"/>
    <numFmt numFmtId="169" formatCode="0.000000000"/>
    <numFmt numFmtId="170" formatCode="0.00%"/>
    <numFmt numFmtId="171" formatCode="0.0"/>
    <numFmt numFmtId="172" formatCode="0.000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1" xfId="20" applyBorder="1">
      <alignment/>
      <protection/>
    </xf>
    <xf numFmtId="164" fontId="1" fillId="0" borderId="2" xfId="20" applyBorder="1">
      <alignment/>
      <protection/>
    </xf>
    <xf numFmtId="164" fontId="1" fillId="0" borderId="3" xfId="20" applyFont="1" applyBorder="1">
      <alignment/>
      <protection/>
    </xf>
    <xf numFmtId="164" fontId="1" fillId="0" borderId="4" xfId="20" applyBorder="1">
      <alignment/>
      <protection/>
    </xf>
    <xf numFmtId="164" fontId="1" fillId="0" borderId="0" xfId="20" applyBorder="1">
      <alignment/>
      <protection/>
    </xf>
    <xf numFmtId="164" fontId="1" fillId="0" borderId="5" xfId="20" applyBorder="1">
      <alignment/>
      <protection/>
    </xf>
    <xf numFmtId="166" fontId="1" fillId="0" borderId="0" xfId="20" applyNumberFormat="1" applyBorder="1">
      <alignment/>
      <protection/>
    </xf>
    <xf numFmtId="164" fontId="3" fillId="0" borderId="5" xfId="20" applyFont="1" applyBorder="1" applyAlignment="1">
      <alignment vertical="center"/>
      <protection/>
    </xf>
    <xf numFmtId="164" fontId="3" fillId="2" borderId="0" xfId="20" applyFont="1" applyFill="1" applyBorder="1" applyAlignment="1">
      <alignment vertical="center"/>
      <protection/>
    </xf>
    <xf numFmtId="164" fontId="3" fillId="2" borderId="5" xfId="20" applyFont="1" applyFill="1" applyBorder="1" applyAlignment="1">
      <alignment vertical="center"/>
      <protection/>
    </xf>
    <xf numFmtId="164" fontId="1" fillId="0" borderId="4" xfId="20" applyFont="1" applyBorder="1">
      <alignment/>
      <protection/>
    </xf>
    <xf numFmtId="164" fontId="1" fillId="0" borderId="0" xfId="20" applyFont="1" applyBorder="1">
      <alignment/>
      <protection/>
    </xf>
    <xf numFmtId="167" fontId="1" fillId="0" borderId="5" xfId="20" applyNumberFormat="1" applyBorder="1">
      <alignment/>
      <protection/>
    </xf>
    <xf numFmtId="164" fontId="1" fillId="0" borderId="0" xfId="20" applyFont="1">
      <alignment/>
      <protection/>
    </xf>
    <xf numFmtId="167" fontId="1" fillId="2" borderId="0" xfId="20" applyNumberFormat="1" applyFill="1" applyBorder="1">
      <alignment/>
      <protection/>
    </xf>
    <xf numFmtId="166" fontId="1" fillId="2" borderId="0" xfId="20" applyNumberFormat="1" applyFill="1" applyBorder="1">
      <alignment/>
      <protection/>
    </xf>
    <xf numFmtId="167" fontId="1" fillId="2" borderId="5" xfId="20" applyNumberFormat="1" applyFill="1" applyBorder="1">
      <alignment/>
      <protection/>
    </xf>
    <xf numFmtId="167" fontId="1" fillId="0" borderId="0" xfId="20" applyNumberFormat="1" applyFill="1" applyBorder="1">
      <alignment/>
      <protection/>
    </xf>
    <xf numFmtId="164" fontId="1" fillId="0" borderId="0" xfId="20" applyFill="1" applyBorder="1">
      <alignment/>
      <protection/>
    </xf>
    <xf numFmtId="167" fontId="1" fillId="0" borderId="5" xfId="20" applyNumberFormat="1" applyFill="1" applyBorder="1">
      <alignment/>
      <protection/>
    </xf>
    <xf numFmtId="164" fontId="1" fillId="2" borderId="0" xfId="20" applyFill="1" applyBorder="1">
      <alignment/>
      <protection/>
    </xf>
    <xf numFmtId="168" fontId="1" fillId="0" borderId="0" xfId="20" applyNumberFormat="1" applyBorder="1">
      <alignment/>
      <protection/>
    </xf>
    <xf numFmtId="164" fontId="1" fillId="2" borderId="5" xfId="20" applyFill="1" applyBorder="1">
      <alignment/>
      <protection/>
    </xf>
    <xf numFmtId="164" fontId="1" fillId="0" borderId="5" xfId="20" applyFill="1" applyBorder="1">
      <alignment/>
      <protection/>
    </xf>
    <xf numFmtId="164" fontId="1" fillId="0" borderId="6" xfId="20" applyFont="1" applyBorder="1">
      <alignment/>
      <protection/>
    </xf>
    <xf numFmtId="164" fontId="1" fillId="0" borderId="7" xfId="20" applyFont="1" applyBorder="1">
      <alignment/>
      <protection/>
    </xf>
    <xf numFmtId="164" fontId="1" fillId="2" borderId="8" xfId="20" applyFill="1" applyBorder="1">
      <alignment/>
      <protection/>
    </xf>
    <xf numFmtId="164" fontId="1" fillId="0" borderId="9" xfId="20" applyFont="1" applyBorder="1">
      <alignment/>
      <protection/>
    </xf>
    <xf numFmtId="164" fontId="1" fillId="0" borderId="0" xfId="20" applyFont="1" applyFill="1">
      <alignment/>
      <protection/>
    </xf>
    <xf numFmtId="166" fontId="1" fillId="0" borderId="10" xfId="20" applyNumberFormat="1" applyBorder="1">
      <alignment/>
      <protection/>
    </xf>
    <xf numFmtId="167" fontId="1" fillId="2" borderId="2" xfId="20" applyNumberFormat="1" applyFill="1" applyBorder="1">
      <alignment/>
      <protection/>
    </xf>
    <xf numFmtId="166" fontId="1" fillId="0" borderId="2" xfId="20" applyNumberFormat="1" applyBorder="1">
      <alignment/>
      <protection/>
    </xf>
    <xf numFmtId="167" fontId="1" fillId="3" borderId="2" xfId="20" applyNumberFormat="1" applyFill="1" applyBorder="1">
      <alignment/>
      <protection/>
    </xf>
    <xf numFmtId="167" fontId="1" fillId="0" borderId="7" xfId="20" applyNumberFormat="1" applyBorder="1">
      <alignment/>
      <protection/>
    </xf>
    <xf numFmtId="166" fontId="1" fillId="0" borderId="7" xfId="20" applyNumberFormat="1" applyBorder="1">
      <alignment/>
      <protection/>
    </xf>
    <xf numFmtId="164" fontId="1" fillId="0" borderId="8" xfId="20" applyFont="1" applyBorder="1">
      <alignment/>
      <protection/>
    </xf>
    <xf numFmtId="164" fontId="4" fillId="0" borderId="11" xfId="20" applyFont="1" applyBorder="1">
      <alignment/>
      <protection/>
    </xf>
    <xf numFmtId="166" fontId="1" fillId="0" borderId="5" xfId="20" applyNumberFormat="1" applyBorder="1">
      <alignment/>
      <protection/>
    </xf>
    <xf numFmtId="166" fontId="1" fillId="3" borderId="8" xfId="20" applyNumberFormat="1" applyFill="1" applyBorder="1">
      <alignment/>
      <protection/>
    </xf>
    <xf numFmtId="164" fontId="1" fillId="3" borderId="8" xfId="20" applyFill="1" applyBorder="1">
      <alignment/>
      <protection/>
    </xf>
    <xf numFmtId="164" fontId="2" fillId="0" borderId="0" xfId="20" applyFont="1" applyAlignment="1">
      <alignment horizontal="center"/>
      <protection/>
    </xf>
    <xf numFmtId="166" fontId="2" fillId="0" borderId="1" xfId="20" applyNumberFormat="1" applyFont="1" applyBorder="1">
      <alignment/>
      <protection/>
    </xf>
    <xf numFmtId="166" fontId="2" fillId="0" borderId="6" xfId="20" applyNumberFormat="1" applyFont="1" applyBorder="1">
      <alignment/>
      <protection/>
    </xf>
    <xf numFmtId="164" fontId="1" fillId="0" borderId="12" xfId="20" applyFont="1" applyBorder="1">
      <alignment/>
      <protection/>
    </xf>
    <xf numFmtId="164" fontId="1" fillId="0" borderId="13" xfId="20" applyBorder="1">
      <alignment/>
      <protection/>
    </xf>
    <xf numFmtId="164" fontId="1" fillId="0" borderId="14" xfId="20" applyBorder="1">
      <alignment/>
      <protection/>
    </xf>
    <xf numFmtId="164" fontId="1" fillId="0" borderId="15" xfId="20" applyFont="1" applyBorder="1">
      <alignment/>
      <protection/>
    </xf>
    <xf numFmtId="164" fontId="1" fillId="0" borderId="16" xfId="20" applyBorder="1">
      <alignment/>
      <protection/>
    </xf>
    <xf numFmtId="167" fontId="1" fillId="0" borderId="0" xfId="20" applyNumberFormat="1">
      <alignment/>
      <protection/>
    </xf>
    <xf numFmtId="166" fontId="1" fillId="0" borderId="0" xfId="20" applyNumberFormat="1">
      <alignment/>
      <protection/>
    </xf>
    <xf numFmtId="168" fontId="1" fillId="0" borderId="15" xfId="20" applyNumberFormat="1" applyBorder="1" applyAlignment="1">
      <alignment horizontal="right"/>
      <protection/>
    </xf>
    <xf numFmtId="164" fontId="1" fillId="0" borderId="17" xfId="20" applyBorder="1">
      <alignment/>
      <protection/>
    </xf>
    <xf numFmtId="164" fontId="1" fillId="0" borderId="18" xfId="20" applyBorder="1">
      <alignment/>
      <protection/>
    </xf>
    <xf numFmtId="164" fontId="1" fillId="0" borderId="19" xfId="20" applyBorder="1">
      <alignment/>
      <protection/>
    </xf>
    <xf numFmtId="164" fontId="0" fillId="0" borderId="14" xfId="0" applyBorder="1" applyAlignment="1">
      <alignment/>
    </xf>
    <xf numFmtId="164" fontId="1" fillId="0" borderId="16" xfId="20" applyFont="1" applyBorder="1">
      <alignment/>
      <protection/>
    </xf>
    <xf numFmtId="169" fontId="1" fillId="0" borderId="4" xfId="20" applyNumberFormat="1" applyFont="1" applyBorder="1">
      <alignment/>
      <protection/>
    </xf>
    <xf numFmtId="164" fontId="1" fillId="0" borderId="17" xfId="20" applyFont="1" applyBorder="1">
      <alignment/>
      <protection/>
    </xf>
    <xf numFmtId="164" fontId="1" fillId="0" borderId="7" xfId="20" applyFont="1" applyBorder="1" applyAlignment="1">
      <alignment horizontal="right"/>
      <protection/>
    </xf>
    <xf numFmtId="164" fontId="5" fillId="0" borderId="0" xfId="20" applyFont="1" applyBorder="1">
      <alignment/>
      <protection/>
    </xf>
    <xf numFmtId="164" fontId="2" fillId="0" borderId="0" xfId="20" applyFont="1" applyBorder="1">
      <alignment/>
      <protection/>
    </xf>
    <xf numFmtId="170" fontId="1" fillId="0" borderId="0" xfId="20" applyNumberFormat="1" applyBorder="1">
      <alignment/>
      <protection/>
    </xf>
    <xf numFmtId="168" fontId="2" fillId="0" borderId="0" xfId="20" applyNumberFormat="1" applyFont="1" applyBorder="1">
      <alignment/>
      <protection/>
    </xf>
    <xf numFmtId="164" fontId="6" fillId="0" borderId="0" xfId="0" applyFont="1" applyAlignment="1">
      <alignment/>
    </xf>
    <xf numFmtId="164" fontId="1" fillId="0" borderId="0" xfId="20" applyFont="1" applyBorder="1">
      <alignment/>
      <protection/>
    </xf>
    <xf numFmtId="166" fontId="1" fillId="0" borderId="0" xfId="20" applyNumberFormat="1" applyBorder="1">
      <alignment/>
      <protection/>
    </xf>
    <xf numFmtId="172" fontId="1" fillId="0" borderId="0" xfId="20" applyNumberFormat="1" applyBorder="1">
      <alignment/>
      <protection/>
    </xf>
    <xf numFmtId="164" fontId="7" fillId="4" borderId="20" xfId="20" applyFont="1" applyFill="1" applyBorder="1" applyAlignment="1">
      <alignment horizontal="center" vertical="center" wrapText="1"/>
      <protection/>
    </xf>
    <xf numFmtId="164" fontId="8" fillId="4" borderId="20" xfId="20" applyFont="1" applyFill="1" applyBorder="1" applyAlignment="1">
      <alignment vertical="center" wrapText="1"/>
      <protection/>
    </xf>
    <xf numFmtId="164" fontId="8" fillId="4" borderId="20" xfId="20" applyFont="1" applyFill="1" applyBorder="1" applyAlignment="1">
      <alignment horizontal="right" vertical="center" wrapText="1"/>
      <protection/>
    </xf>
    <xf numFmtId="167" fontId="8" fillId="4" borderId="20" xfId="20" applyNumberFormat="1" applyFont="1" applyFill="1" applyBorder="1" applyAlignment="1">
      <alignment horizontal="right" vertical="center" wrapText="1"/>
      <protection/>
    </xf>
    <xf numFmtId="166" fontId="7" fillId="4" borderId="20" xfId="20" applyNumberFormat="1" applyFont="1" applyFill="1" applyBorder="1" applyAlignment="1">
      <alignment horizontal="right" vertical="center" wrapText="1"/>
      <protection/>
    </xf>
    <xf numFmtId="164" fontId="7" fillId="4" borderId="20" xfId="20" applyFont="1" applyFill="1" applyBorder="1" applyAlignment="1">
      <alignment vertical="center" wrapText="1"/>
      <protection/>
    </xf>
    <xf numFmtId="164" fontId="9" fillId="0" borderId="0" xfId="20" applyFont="1">
      <alignment/>
      <protection/>
    </xf>
    <xf numFmtId="164" fontId="5" fillId="0" borderId="0" xfId="20" applyFont="1">
      <alignment/>
      <protection/>
    </xf>
    <xf numFmtId="164" fontId="2" fillId="0" borderId="20" xfId="20" applyFont="1" applyBorder="1" applyAlignment="1">
      <alignment horizontal="center" vertical="center" wrapText="1"/>
      <protection/>
    </xf>
    <xf numFmtId="164" fontId="2" fillId="0" borderId="21" xfId="20" applyFont="1" applyBorder="1" applyAlignment="1">
      <alignment horizontal="center" vertical="center" wrapText="1"/>
      <protection/>
    </xf>
    <xf numFmtId="164" fontId="1" fillId="0" borderId="22" xfId="20" applyBorder="1" applyAlignment="1">
      <alignment vertical="top" wrapText="1"/>
      <protection/>
    </xf>
    <xf numFmtId="164" fontId="1" fillId="0" borderId="23" xfId="20" applyFont="1" applyBorder="1" applyAlignment="1">
      <alignment horizontal="center" vertical="center" wrapText="1"/>
      <protection/>
    </xf>
    <xf numFmtId="164" fontId="1" fillId="0" borderId="20" xfId="20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1543050</xdr:colOff>
      <xdr:row>66</xdr:row>
      <xdr:rowOff>0</xdr:rowOff>
    </xdr:from>
    <xdr:to>
      <xdr:col>13</xdr:col>
      <xdr:colOff>676275</xdr:colOff>
      <xdr:row>122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0725150"/>
          <a:ext cx="7800975" cy="911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21</xdr:row>
      <xdr:rowOff>123825</xdr:rowOff>
    </xdr:from>
    <xdr:to>
      <xdr:col>19</xdr:col>
      <xdr:colOff>276225</xdr:colOff>
      <xdr:row>48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524250"/>
          <a:ext cx="10306050" cy="429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zoomScale="65" zoomScaleNormal="65" workbookViewId="0" topLeftCell="A1">
      <selection activeCell="A30" sqref="A30"/>
    </sheetView>
  </sheetViews>
  <sheetFormatPr defaultColWidth="13.7109375" defaultRowHeight="12.75"/>
  <cols>
    <col min="1" max="1" width="44.57421875" style="1" customWidth="1"/>
    <col min="2" max="2" width="46.57421875" style="1" customWidth="1"/>
    <col min="3" max="4" width="22.57421875" style="1" customWidth="1"/>
    <col min="5" max="5" width="20.57421875" style="1" customWidth="1"/>
    <col min="6" max="6" width="16.57421875" style="1" customWidth="1"/>
    <col min="7" max="7" width="15.8515625" style="1" customWidth="1"/>
    <col min="8" max="8" width="63.8515625" style="1" customWidth="1"/>
    <col min="9" max="16384" width="12.57421875" style="1" customWidth="1"/>
  </cols>
  <sheetData>
    <row r="2" spans="4:5" ht="12.75">
      <c r="D2" s="2" t="s">
        <v>0</v>
      </c>
      <c r="E2"/>
    </row>
    <row r="3" ht="12.75">
      <c r="H3" s="1" t="s">
        <v>1</v>
      </c>
    </row>
    <row r="4" spans="1:6" ht="12.75">
      <c r="A4" s="3"/>
      <c r="B4" s="4"/>
      <c r="C4" s="4" t="s">
        <v>2</v>
      </c>
      <c r="D4" s="4"/>
      <c r="E4" s="4"/>
      <c r="F4" s="5" t="s">
        <v>3</v>
      </c>
    </row>
    <row r="5" spans="1:6" ht="12.75">
      <c r="A5" s="6"/>
      <c r="B5" s="7"/>
      <c r="C5" s="7"/>
      <c r="D5" s="7"/>
      <c r="E5" s="7"/>
      <c r="F5" s="8"/>
    </row>
    <row r="6" spans="1:6" ht="12.75">
      <c r="A6" s="6" t="s">
        <v>4</v>
      </c>
      <c r="B6" s="7"/>
      <c r="C6" s="7"/>
      <c r="D6" s="7"/>
      <c r="E6" s="7" t="s">
        <v>5</v>
      </c>
      <c r="F6" s="8"/>
    </row>
    <row r="7" spans="1:6" ht="12.75">
      <c r="A7" s="6"/>
      <c r="B7" s="7"/>
      <c r="C7" s="7"/>
      <c r="D7" s="7" t="s">
        <v>6</v>
      </c>
      <c r="E7" s="7" t="s">
        <v>7</v>
      </c>
      <c r="F7" s="8"/>
    </row>
    <row r="8" spans="1:8" ht="12.75">
      <c r="A8" s="6" t="s">
        <v>8</v>
      </c>
      <c r="B8" s="7" t="s">
        <v>9</v>
      </c>
      <c r="C8" s="7"/>
      <c r="D8" s="7">
        <v>3700</v>
      </c>
      <c r="E8" s="9">
        <f>F8/D8*100</f>
        <v>18.945945945945947</v>
      </c>
      <c r="F8" s="10">
        <v>701</v>
      </c>
      <c r="H8" s="1" t="s">
        <v>10</v>
      </c>
    </row>
    <row r="9" spans="1:8" ht="12.75">
      <c r="A9" s="6"/>
      <c r="B9" s="7" t="s">
        <v>11</v>
      </c>
      <c r="C9" s="7"/>
      <c r="D9" s="7">
        <v>10800</v>
      </c>
      <c r="E9" s="9">
        <f>F9/D9*100</f>
        <v>19.425925925925927</v>
      </c>
      <c r="F9" s="10">
        <v>2098</v>
      </c>
      <c r="H9" s="1" t="s">
        <v>10</v>
      </c>
    </row>
    <row r="10" spans="1:8" ht="12.75">
      <c r="A10" s="6"/>
      <c r="B10" s="7" t="s">
        <v>12</v>
      </c>
      <c r="C10" s="7"/>
      <c r="D10" s="7">
        <v>4800</v>
      </c>
      <c r="E10" s="9">
        <f>F10/D10*100</f>
        <v>18.583333333333332</v>
      </c>
      <c r="F10" s="10">
        <v>892</v>
      </c>
      <c r="H10" s="1" t="s">
        <v>10</v>
      </c>
    </row>
    <row r="11" spans="1:6" ht="12.75">
      <c r="A11" s="6"/>
      <c r="B11" s="7"/>
      <c r="C11" s="7"/>
      <c r="D11" s="11">
        <f>D8+D9+D10</f>
        <v>19300</v>
      </c>
      <c r="E11" s="7"/>
      <c r="F11" s="12">
        <f>F8+F9+F10</f>
        <v>3691</v>
      </c>
    </row>
    <row r="12" spans="1:6" ht="12.75">
      <c r="A12" s="6"/>
      <c r="B12" s="7"/>
      <c r="C12" s="7" t="s">
        <v>13</v>
      </c>
      <c r="D12" s="7" t="s">
        <v>6</v>
      </c>
      <c r="E12" s="7" t="s">
        <v>14</v>
      </c>
      <c r="F12" s="8"/>
    </row>
    <row r="13" spans="1:8" ht="12.75">
      <c r="A13" s="13" t="s">
        <v>15</v>
      </c>
      <c r="B13" s="14" t="s">
        <v>16</v>
      </c>
      <c r="C13" s="14">
        <v>15</v>
      </c>
      <c r="D13" s="7">
        <f>C13*20</f>
        <v>300</v>
      </c>
      <c r="E13" s="9">
        <f>2.19*20/2</f>
        <v>21.9</v>
      </c>
      <c r="F13" s="15">
        <f>E13*D13/100</f>
        <v>65.7</v>
      </c>
      <c r="H13" s="16" t="s">
        <v>17</v>
      </c>
    </row>
    <row r="14" spans="1:8" ht="12.75">
      <c r="A14" s="13" t="s">
        <v>18</v>
      </c>
      <c r="B14" s="14" t="s">
        <v>19</v>
      </c>
      <c r="C14" s="14">
        <v>148.5</v>
      </c>
      <c r="D14" s="14">
        <f>C14*60</f>
        <v>8910</v>
      </c>
      <c r="E14" s="9">
        <f>2.19*8/2.4</f>
        <v>7.3</v>
      </c>
      <c r="F14" s="15">
        <f>E14*D14/100</f>
        <v>650.43</v>
      </c>
      <c r="H14" s="16" t="s">
        <v>20</v>
      </c>
    </row>
    <row r="15" spans="1:8" ht="12.75">
      <c r="A15" s="6" t="s">
        <v>21</v>
      </c>
      <c r="B15" s="7" t="s">
        <v>22</v>
      </c>
      <c r="C15" s="7">
        <f>32.5+20+55+48+39.5+75.7+35+2.5+12.25+35.5+22.5</f>
        <v>378.45</v>
      </c>
      <c r="D15" s="7">
        <f>C15*40</f>
        <v>15138</v>
      </c>
      <c r="E15" s="9">
        <f>2.19*40/30</f>
        <v>2.92</v>
      </c>
      <c r="F15" s="15">
        <f>E15*D15/100</f>
        <v>442.0296</v>
      </c>
      <c r="H15" s="1" t="s">
        <v>23</v>
      </c>
    </row>
    <row r="16" spans="1:8" ht="12.75">
      <c r="A16" s="6" t="s">
        <v>24</v>
      </c>
      <c r="B16" s="7" t="s">
        <v>25</v>
      </c>
      <c r="C16" s="7">
        <f>57.5+24</f>
        <v>81.5</v>
      </c>
      <c r="D16" s="7">
        <f>C16*40</f>
        <v>3260</v>
      </c>
      <c r="E16" s="9">
        <f>2.19*25/10</f>
        <v>5.475</v>
      </c>
      <c r="F16" s="15">
        <f>E16*D16/100</f>
        <v>178.485</v>
      </c>
      <c r="H16" s="16" t="s">
        <v>26</v>
      </c>
    </row>
    <row r="17" spans="1:8" ht="12.75">
      <c r="A17" s="13" t="s">
        <v>27</v>
      </c>
      <c r="B17" s="14" t="s">
        <v>28</v>
      </c>
      <c r="C17" s="14">
        <v>31.25</v>
      </c>
      <c r="D17" s="14">
        <f>C17*45</f>
        <v>1406.25</v>
      </c>
      <c r="E17" s="9">
        <f>2.19*20/10</f>
        <v>4.38</v>
      </c>
      <c r="F17" s="15">
        <f>E17*D17/100</f>
        <v>61.59375</v>
      </c>
      <c r="H17" s="16" t="s">
        <v>29</v>
      </c>
    </row>
    <row r="18" spans="1:8" ht="12.75">
      <c r="A18" s="6" t="s">
        <v>30</v>
      </c>
      <c r="B18" s="7" t="s">
        <v>31</v>
      </c>
      <c r="C18" s="7">
        <v>4</v>
      </c>
      <c r="D18" s="7">
        <v>80</v>
      </c>
      <c r="E18" s="9">
        <f>2.19*7/2</f>
        <v>7.665</v>
      </c>
      <c r="F18" s="15">
        <f>E18*D18/100</f>
        <v>6.132000000000001</v>
      </c>
      <c r="H18" s="16" t="s">
        <v>32</v>
      </c>
    </row>
    <row r="19" spans="1:8" ht="12.75">
      <c r="A19" s="13" t="s">
        <v>33</v>
      </c>
      <c r="B19" s="14" t="s">
        <v>34</v>
      </c>
      <c r="C19" s="14">
        <v>52.5</v>
      </c>
      <c r="D19" s="14">
        <f>C19*25</f>
        <v>1312.5</v>
      </c>
      <c r="E19" s="9">
        <f>2.19*5/2</f>
        <v>5.475</v>
      </c>
      <c r="F19" s="15">
        <f>E19*D19/100</f>
        <v>71.85937499999999</v>
      </c>
      <c r="H19" s="16" t="s">
        <v>35</v>
      </c>
    </row>
    <row r="20" spans="1:6" ht="12.75">
      <c r="A20" s="6"/>
      <c r="B20" s="7"/>
      <c r="C20" s="7"/>
      <c r="D20" s="17">
        <f>SUM(D13:D19)</f>
        <v>30406.75</v>
      </c>
      <c r="E20" s="18">
        <f>F20/D20*100</f>
        <v>4.854940843727133</v>
      </c>
      <c r="F20" s="19">
        <f>SUM(F13:F19)</f>
        <v>1476.229725</v>
      </c>
    </row>
    <row r="21" spans="1:8" ht="12.75">
      <c r="A21" s="6"/>
      <c r="B21" s="7"/>
      <c r="C21" s="7"/>
      <c r="D21" s="20"/>
      <c r="E21" s="21"/>
      <c r="F21" s="22"/>
      <c r="H21" s="1">
        <f>2.19*1000/26*31</f>
        <v>2611.153846153846</v>
      </c>
    </row>
    <row r="22" spans="1:6" ht="12.75">
      <c r="A22" s="6"/>
      <c r="B22" s="7"/>
      <c r="C22" s="7"/>
      <c r="D22" s="20"/>
      <c r="E22" s="21"/>
      <c r="F22" s="22"/>
    </row>
    <row r="23" spans="1:6" ht="12.75">
      <c r="A23" s="6"/>
      <c r="B23" s="7"/>
      <c r="C23" s="7" t="s">
        <v>13</v>
      </c>
      <c r="D23" s="20" t="s">
        <v>6</v>
      </c>
      <c r="E23" s="21" t="s">
        <v>14</v>
      </c>
      <c r="F23" s="22"/>
    </row>
    <row r="24" spans="1:8" ht="12.75">
      <c r="A24" s="6" t="s">
        <v>36</v>
      </c>
      <c r="B24" s="7" t="s">
        <v>37</v>
      </c>
      <c r="C24" s="7">
        <f>120.5+40+90.25+24+43.75</f>
        <v>318.5</v>
      </c>
      <c r="D24" s="23">
        <f>70*C24</f>
        <v>22295</v>
      </c>
      <c r="E24" s="24">
        <f>F24/D24*100</f>
        <v>11.020408163265307</v>
      </c>
      <c r="F24" s="25">
        <v>2457</v>
      </c>
      <c r="H24" s="1" t="s">
        <v>38</v>
      </c>
    </row>
    <row r="25" spans="1:8" ht="12.75">
      <c r="A25" s="6"/>
      <c r="B25" s="7"/>
      <c r="C25" s="7"/>
      <c r="D25" s="21"/>
      <c r="E25" s="21"/>
      <c r="F25" s="26"/>
      <c r="H25" s="1" t="s">
        <v>39</v>
      </c>
    </row>
    <row r="26" spans="1:6" ht="12.75">
      <c r="A26" s="6"/>
      <c r="B26" s="7"/>
      <c r="C26" s="7"/>
      <c r="D26" s="21"/>
      <c r="E26" s="21"/>
      <c r="F26" s="26"/>
    </row>
    <row r="27" spans="1:6" ht="12.75">
      <c r="A27" s="6"/>
      <c r="B27" s="7"/>
      <c r="C27" s="7"/>
      <c r="D27" s="21"/>
      <c r="E27" s="21"/>
      <c r="F27" s="26"/>
    </row>
    <row r="28" spans="1:6" ht="12.75">
      <c r="A28" s="6"/>
      <c r="B28" s="7"/>
      <c r="C28" s="7"/>
      <c r="D28" s="7"/>
      <c r="E28" s="21" t="s">
        <v>14</v>
      </c>
      <c r="F28" s="8"/>
    </row>
    <row r="29" spans="1:6" ht="12.75">
      <c r="A29" s="6" t="s">
        <v>40</v>
      </c>
      <c r="B29" s="7" t="s">
        <v>41</v>
      </c>
      <c r="C29" s="7">
        <f>34.5+13.5+53+6</f>
        <v>107</v>
      </c>
      <c r="D29" s="23">
        <f>C29*20</f>
        <v>2140</v>
      </c>
      <c r="E29" s="7">
        <v>15</v>
      </c>
      <c r="F29" s="25">
        <f>E29*D29/100</f>
        <v>321</v>
      </c>
    </row>
    <row r="30" spans="1:6" ht="12.75">
      <c r="A30" s="6"/>
      <c r="B30" s="7"/>
      <c r="C30" s="21"/>
      <c r="D30" s="21"/>
      <c r="E30" s="21"/>
      <c r="F30" s="26"/>
    </row>
    <row r="31" spans="1:6" ht="12.75">
      <c r="A31" s="6"/>
      <c r="B31" s="7"/>
      <c r="C31" s="7"/>
      <c r="D31" s="7"/>
      <c r="E31" s="21" t="s">
        <v>42</v>
      </c>
      <c r="F31" s="8"/>
    </row>
    <row r="32" spans="1:8" ht="12.75">
      <c r="A32" s="6" t="s">
        <v>43</v>
      </c>
      <c r="B32" s="7" t="s">
        <v>44</v>
      </c>
      <c r="C32" s="7">
        <f>45.5+2+0.5</f>
        <v>48</v>
      </c>
      <c r="D32" s="23">
        <v>600</v>
      </c>
      <c r="E32" s="9">
        <f>20/6</f>
        <v>3.3333333333333335</v>
      </c>
      <c r="F32" s="25">
        <f>E32*C32</f>
        <v>160</v>
      </c>
      <c r="H32" s="1" t="s">
        <v>45</v>
      </c>
    </row>
    <row r="33" spans="1:6" ht="12.75">
      <c r="A33" s="6"/>
      <c r="B33" s="7"/>
      <c r="C33" s="7"/>
      <c r="D33" s="23"/>
      <c r="E33" s="9"/>
      <c r="F33" s="25"/>
    </row>
    <row r="34" spans="1:6" ht="12.75">
      <c r="A34" s="6"/>
      <c r="B34" s="7"/>
      <c r="C34" s="7"/>
      <c r="D34" s="7"/>
      <c r="E34" s="7"/>
      <c r="F34" s="8"/>
    </row>
    <row r="35" spans="1:8" ht="12.75">
      <c r="A35" s="6" t="s">
        <v>46</v>
      </c>
      <c r="B35" s="7" t="s">
        <v>31</v>
      </c>
      <c r="C35" s="7">
        <v>7</v>
      </c>
      <c r="D35" s="23">
        <v>40</v>
      </c>
      <c r="E35" s="7">
        <v>0</v>
      </c>
      <c r="F35" s="25">
        <v>0</v>
      </c>
      <c r="H35" s="1" t="s">
        <v>47</v>
      </c>
    </row>
    <row r="36" spans="1:6" ht="12.75">
      <c r="A36" s="6"/>
      <c r="B36" s="7"/>
      <c r="C36" s="7"/>
      <c r="D36" s="7"/>
      <c r="E36" s="7"/>
      <c r="F36" s="8"/>
    </row>
    <row r="37" spans="1:8" ht="12.75">
      <c r="A37" s="6" t="s">
        <v>48</v>
      </c>
      <c r="B37" s="7" t="s">
        <v>16</v>
      </c>
      <c r="C37" s="7">
        <v>2.25</v>
      </c>
      <c r="D37" s="7">
        <v>145</v>
      </c>
      <c r="E37" s="7">
        <v>0</v>
      </c>
      <c r="F37" s="25">
        <v>0</v>
      </c>
      <c r="H37" s="1" t="s">
        <v>49</v>
      </c>
    </row>
    <row r="38" spans="1:8" ht="12.75">
      <c r="A38" s="6" t="s">
        <v>48</v>
      </c>
      <c r="B38" s="7" t="s">
        <v>50</v>
      </c>
      <c r="C38" s="7">
        <v>26</v>
      </c>
      <c r="D38" s="7">
        <v>1250</v>
      </c>
      <c r="E38" s="7">
        <v>0</v>
      </c>
      <c r="F38" s="25">
        <v>0</v>
      </c>
      <c r="H38" s="1" t="s">
        <v>51</v>
      </c>
    </row>
    <row r="39" spans="1:6" ht="12.75">
      <c r="A39" s="27" t="s">
        <v>52</v>
      </c>
      <c r="B39" s="28" t="s">
        <v>53</v>
      </c>
      <c r="C39" s="28">
        <f>33.5-26</f>
        <v>7.5</v>
      </c>
      <c r="D39" s="28">
        <v>600</v>
      </c>
      <c r="E39" s="28">
        <v>0</v>
      </c>
      <c r="F39" s="29">
        <v>0</v>
      </c>
    </row>
    <row r="41" spans="3:6" ht="12.75">
      <c r="C41" s="30" t="s">
        <v>54</v>
      </c>
      <c r="D41" s="1" t="s">
        <v>6</v>
      </c>
      <c r="E41" s="31" t="s">
        <v>14</v>
      </c>
      <c r="F41" s="1" t="s">
        <v>3</v>
      </c>
    </row>
    <row r="42" spans="3:7" ht="12.75">
      <c r="C42" s="32">
        <f>F42/3.67</f>
        <v>2208.509461852861</v>
      </c>
      <c r="D42" s="33">
        <f>D11+D20+D24+D29+D32+D35+D37+D38+D39</f>
        <v>76776.75</v>
      </c>
      <c r="E42" s="34">
        <f>F42/D42*100</f>
        <v>10.55688046837096</v>
      </c>
      <c r="F42" s="35">
        <f>F11+F20+F24+F29+F32+F35+F37+F39+F38</f>
        <v>8105.229725</v>
      </c>
      <c r="G42" s="5" t="s">
        <v>55</v>
      </c>
    </row>
    <row r="43" spans="3:7" ht="12.75">
      <c r="C43" s="32">
        <f>F43/3.67</f>
        <v>1202.7873910081744</v>
      </c>
      <c r="D43" s="36">
        <f>D20+D24+D29+D32+D35+D37+D38+D39</f>
        <v>57476.75</v>
      </c>
      <c r="E43" s="37">
        <f>F43/D43*100</f>
        <v>7.680026662955021</v>
      </c>
      <c r="F43" s="36">
        <f>F20+F24+F29+F32+F35+F38+F37+F39</f>
        <v>4414.229725</v>
      </c>
      <c r="G43" s="38" t="s">
        <v>56</v>
      </c>
    </row>
    <row r="44" ht="12.75">
      <c r="C44" s="39" t="s">
        <v>57</v>
      </c>
    </row>
    <row r="46" spans="1:6" ht="12.75">
      <c r="A46" s="3" t="s">
        <v>58</v>
      </c>
      <c r="B46" s="4"/>
      <c r="C46" s="4"/>
      <c r="D46" s="4"/>
      <c r="E46" s="4"/>
      <c r="F46" s="5"/>
    </row>
    <row r="47" spans="1:6" ht="12.75">
      <c r="A47" s="6"/>
      <c r="B47" s="7"/>
      <c r="C47" s="7" t="s">
        <v>59</v>
      </c>
      <c r="D47" s="7" t="s">
        <v>60</v>
      </c>
      <c r="E47" s="7" t="s">
        <v>61</v>
      </c>
      <c r="F47" s="8" t="s">
        <v>3</v>
      </c>
    </row>
    <row r="48" spans="1:8" ht="12.75">
      <c r="A48" s="6" t="s">
        <v>62</v>
      </c>
      <c r="B48" s="7" t="s">
        <v>63</v>
      </c>
      <c r="C48" s="7">
        <f>70-7</f>
        <v>63</v>
      </c>
      <c r="D48" s="7">
        <f>30+1.5+0.5</f>
        <v>32</v>
      </c>
      <c r="E48" s="7">
        <f>D48*C48</f>
        <v>2016</v>
      </c>
      <c r="F48" s="40">
        <f>E48*0.625</f>
        <v>1260</v>
      </c>
      <c r="H48" s="1" t="s">
        <v>64</v>
      </c>
    </row>
    <row r="49" spans="1:8" ht="12.75">
      <c r="A49" s="6"/>
      <c r="B49" s="7" t="s">
        <v>65</v>
      </c>
      <c r="C49" s="7">
        <f>183</f>
        <v>183</v>
      </c>
      <c r="D49" s="7">
        <f>1.5+0.5</f>
        <v>2</v>
      </c>
      <c r="E49" s="7">
        <f>D49*C49</f>
        <v>366</v>
      </c>
      <c r="F49" s="40">
        <f>E49*0.625</f>
        <v>228.75</v>
      </c>
      <c r="H49" s="1" t="s">
        <v>66</v>
      </c>
    </row>
    <row r="50" spans="1:6" ht="12.75">
      <c r="A50" s="6"/>
      <c r="B50" s="7" t="s">
        <v>67</v>
      </c>
      <c r="C50" s="7">
        <v>112</v>
      </c>
      <c r="D50" s="7">
        <v>0</v>
      </c>
      <c r="E50" s="7">
        <f>D50*C50</f>
        <v>0</v>
      </c>
      <c r="F50" s="40">
        <f>E50*0.625</f>
        <v>0</v>
      </c>
    </row>
    <row r="51" spans="1:6" ht="12.75">
      <c r="A51" s="6"/>
      <c r="B51" s="7"/>
      <c r="C51" s="7"/>
      <c r="D51" s="7"/>
      <c r="E51" s="7"/>
      <c r="F51" s="40"/>
    </row>
    <row r="52" spans="1:6" ht="12.75">
      <c r="A52" s="27"/>
      <c r="B52" s="28"/>
      <c r="C52" s="28"/>
      <c r="D52" s="28"/>
      <c r="E52" s="28"/>
      <c r="F52" s="41">
        <f>F48+F49</f>
        <v>1488.75</v>
      </c>
    </row>
    <row r="54" spans="1:6" ht="12.75">
      <c r="A54" s="3" t="s">
        <v>68</v>
      </c>
      <c r="B54" s="4"/>
      <c r="C54" s="4"/>
      <c r="D54" s="4"/>
      <c r="E54" s="4" t="s">
        <v>69</v>
      </c>
      <c r="F54" s="5"/>
    </row>
    <row r="55" spans="1:8" ht="12.75">
      <c r="A55" s="6"/>
      <c r="B55" s="7" t="s">
        <v>70</v>
      </c>
      <c r="C55" s="7">
        <v>250</v>
      </c>
      <c r="D55" s="7"/>
      <c r="E55" s="24">
        <f>F55/C55</f>
        <v>1.06</v>
      </c>
      <c r="F55" s="26">
        <v>265</v>
      </c>
      <c r="H55" s="1" t="s">
        <v>71</v>
      </c>
    </row>
    <row r="56" spans="1:8" ht="12.75">
      <c r="A56" s="6"/>
      <c r="B56" s="7" t="s">
        <v>72</v>
      </c>
      <c r="C56" s="7">
        <v>115</v>
      </c>
      <c r="D56" s="7"/>
      <c r="E56" s="24">
        <f>F56/C56</f>
        <v>0.4260869565217391</v>
      </c>
      <c r="F56" s="8">
        <v>49</v>
      </c>
      <c r="H56" s="1" t="s">
        <v>71</v>
      </c>
    </row>
    <row r="57" spans="1:6" ht="12.75">
      <c r="A57" s="6"/>
      <c r="B57" s="7"/>
      <c r="C57" s="7"/>
      <c r="D57" s="7"/>
      <c r="E57" s="7"/>
      <c r="F57" s="8"/>
    </row>
    <row r="58" spans="1:6" ht="12.75">
      <c r="A58" s="27"/>
      <c r="B58" s="28"/>
      <c r="C58" s="28"/>
      <c r="D58" s="28"/>
      <c r="E58" s="28"/>
      <c r="F58" s="42">
        <f>F55+F56</f>
        <v>314</v>
      </c>
    </row>
    <row r="60" spans="1:6" ht="12.75">
      <c r="A60" s="3" t="s">
        <v>73</v>
      </c>
      <c r="B60" s="4"/>
      <c r="C60" s="4"/>
      <c r="D60" s="4"/>
      <c r="E60" s="4"/>
      <c r="F60" s="5"/>
    </row>
    <row r="61" spans="1:8" ht="12.75">
      <c r="A61" s="27"/>
      <c r="B61" s="28"/>
      <c r="C61" s="28"/>
      <c r="D61" s="28"/>
      <c r="E61" s="28"/>
      <c r="F61" s="42">
        <v>0</v>
      </c>
      <c r="H61" s="1" t="s">
        <v>74</v>
      </c>
    </row>
    <row r="63" spans="1:6" ht="12.75">
      <c r="A63" s="3" t="s">
        <v>75</v>
      </c>
      <c r="B63" s="4"/>
      <c r="C63" s="4" t="s">
        <v>76</v>
      </c>
      <c r="D63" s="4" t="s">
        <v>77</v>
      </c>
      <c r="E63" s="4" t="s">
        <v>78</v>
      </c>
      <c r="F63" s="5"/>
    </row>
    <row r="64" spans="1:8" ht="12.75">
      <c r="A64" s="27"/>
      <c r="B64" s="28"/>
      <c r="C64" s="28">
        <v>0.30000000000000004</v>
      </c>
      <c r="D64" s="28">
        <f>C64*365</f>
        <v>109.50000000000001</v>
      </c>
      <c r="E64" s="28">
        <v>1</v>
      </c>
      <c r="F64" s="42">
        <f>E64*D64</f>
        <v>109.50000000000001</v>
      </c>
      <c r="H64" s="1" t="s">
        <v>79</v>
      </c>
    </row>
    <row r="67" ht="12.75">
      <c r="E67" s="43"/>
    </row>
    <row r="68" spans="5:7" ht="12.75">
      <c r="E68" s="43" t="s">
        <v>80</v>
      </c>
      <c r="F68" s="44">
        <f>F42+F52+F58+F61+F64</f>
        <v>10017.479725000001</v>
      </c>
      <c r="G68" s="5" t="s">
        <v>80</v>
      </c>
    </row>
    <row r="69" spans="5:7" ht="12.75">
      <c r="E69" s="43" t="s">
        <v>81</v>
      </c>
      <c r="F69" s="45">
        <f>F68+(F43-F42)</f>
        <v>6326.479725000001</v>
      </c>
      <c r="G69" s="38" t="s">
        <v>56</v>
      </c>
    </row>
    <row r="70" ht="12.75">
      <c r="E70" s="43" t="s">
        <v>82</v>
      </c>
    </row>
    <row r="77" spans="1:8" ht="12.75">
      <c r="A77" s="46" t="s">
        <v>83</v>
      </c>
      <c r="B77" s="47"/>
      <c r="C77" s="47"/>
      <c r="D77" s="47"/>
      <c r="E77" s="47"/>
      <c r="F77" s="47"/>
      <c r="G77" s="47"/>
      <c r="H77" s="48"/>
    </row>
    <row r="78" spans="1:8" ht="12.75">
      <c r="A78" s="49" t="s">
        <v>84</v>
      </c>
      <c r="B78" s="1" t="s">
        <v>85</v>
      </c>
      <c r="H78" s="50"/>
    </row>
    <row r="79" spans="1:8" ht="12.75">
      <c r="A79" s="49"/>
      <c r="B79" s="51">
        <f>18000*A80</f>
        <v>109756.09756097561</v>
      </c>
      <c r="C79" s="1" t="s">
        <v>86</v>
      </c>
      <c r="D79" s="1" t="s">
        <v>87</v>
      </c>
      <c r="E79" s="52">
        <f>B79/4000</f>
        <v>27.439024390243905</v>
      </c>
      <c r="F79" s="1" t="s">
        <v>88</v>
      </c>
      <c r="H79" s="50"/>
    </row>
    <row r="80" spans="1:8" ht="12.75">
      <c r="A80" s="53">
        <f>100/16.4</f>
        <v>6.097560975609756</v>
      </c>
      <c r="B80" s="51">
        <f>3200*A80</f>
        <v>19512.19512195122</v>
      </c>
      <c r="C80" s="1" t="s">
        <v>89</v>
      </c>
      <c r="D80" s="1" t="s">
        <v>87</v>
      </c>
      <c r="E80" s="52">
        <f>B80/4000</f>
        <v>4.878048780487805</v>
      </c>
      <c r="F80" s="1" t="s">
        <v>88</v>
      </c>
      <c r="H80" s="50"/>
    </row>
    <row r="81" spans="1:8" ht="12.75">
      <c r="A81" s="49"/>
      <c r="B81" s="1">
        <v>9</v>
      </c>
      <c r="C81" s="1" t="s">
        <v>90</v>
      </c>
      <c r="H81" s="50"/>
    </row>
    <row r="82" spans="1:8" ht="12.75">
      <c r="A82" s="54"/>
      <c r="B82" s="55">
        <v>28000</v>
      </c>
      <c r="C82" s="55" t="s">
        <v>91</v>
      </c>
      <c r="D82" s="55"/>
      <c r="E82" s="55"/>
      <c r="F82" s="55"/>
      <c r="G82" s="55"/>
      <c r="H82" s="56"/>
    </row>
    <row r="88" spans="1:8" ht="12.75">
      <c r="A88" s="46" t="s">
        <v>92</v>
      </c>
      <c r="B88" s="47"/>
      <c r="C88" s="47"/>
      <c r="D88" s="47"/>
      <c r="E88" s="47"/>
      <c r="F88" s="47"/>
      <c r="G88" s="47"/>
      <c r="H88" s="48"/>
    </row>
    <row r="89" spans="1:8" ht="12.75">
      <c r="A89" s="49" t="s">
        <v>93</v>
      </c>
      <c r="C89" s="1" t="s">
        <v>94</v>
      </c>
      <c r="H89" s="50"/>
    </row>
    <row r="90" spans="1:8" ht="12.75">
      <c r="A90" s="49" t="s">
        <v>95</v>
      </c>
      <c r="C90" s="1" t="s">
        <v>96</v>
      </c>
      <c r="H90" s="50"/>
    </row>
    <row r="91" spans="1:8" ht="12.75">
      <c r="A91" s="49"/>
      <c r="D91" s="1" t="s">
        <v>97</v>
      </c>
      <c r="E91" s="1" t="s">
        <v>98</v>
      </c>
      <c r="H91" s="50"/>
    </row>
    <row r="92" spans="1:8" ht="12.75">
      <c r="A92" s="49"/>
      <c r="D92" s="1" t="s">
        <v>99</v>
      </c>
      <c r="E92" s="1" t="s">
        <v>100</v>
      </c>
      <c r="H92" s="50"/>
    </row>
    <row r="93" spans="1:8" ht="12.75">
      <c r="A93" s="49"/>
      <c r="B93" s="1">
        <f>1.5*0.625</f>
        <v>0.9375</v>
      </c>
      <c r="F93" s="1" t="s">
        <v>101</v>
      </c>
      <c r="H93" s="50"/>
    </row>
    <row r="94" spans="1:8" ht="12.75">
      <c r="A94" s="49"/>
      <c r="D94" s="1" t="s">
        <v>102</v>
      </c>
      <c r="E94" s="1" t="s">
        <v>103</v>
      </c>
      <c r="F94" s="1" t="s">
        <v>104</v>
      </c>
      <c r="H94" s="50"/>
    </row>
    <row r="95" spans="1:8" ht="12.75">
      <c r="A95" s="49"/>
      <c r="D95" s="1" t="s">
        <v>105</v>
      </c>
      <c r="E95" s="1" t="s">
        <v>106</v>
      </c>
      <c r="H95" s="50"/>
    </row>
    <row r="96" spans="1:8" ht="12.75">
      <c r="A96" s="49"/>
      <c r="D96" s="1" t="s">
        <v>107</v>
      </c>
      <c r="E96" s="1" t="s">
        <v>108</v>
      </c>
      <c r="H96" s="50"/>
    </row>
    <row r="97" spans="1:8" ht="12.75">
      <c r="A97" s="54"/>
      <c r="B97" s="55"/>
      <c r="C97" s="55"/>
      <c r="D97" s="55" t="s">
        <v>109</v>
      </c>
      <c r="E97" s="55" t="s">
        <v>110</v>
      </c>
      <c r="F97" s="55"/>
      <c r="G97" s="55"/>
      <c r="H97" s="56"/>
    </row>
    <row r="102" spans="1:8" ht="12.75">
      <c r="A102" s="46" t="s">
        <v>111</v>
      </c>
      <c r="B102" s="47"/>
      <c r="C102" s="47"/>
      <c r="D102" s="47"/>
      <c r="E102" s="47"/>
      <c r="F102" s="47"/>
      <c r="G102" s="47"/>
      <c r="H102" s="48"/>
    </row>
    <row r="103" spans="1:8" ht="12.75">
      <c r="A103" s="49" t="s">
        <v>112</v>
      </c>
      <c r="H103" s="50"/>
    </row>
    <row r="104" spans="1:8" ht="12.75">
      <c r="A104" s="49"/>
      <c r="H104" s="50"/>
    </row>
    <row r="105" spans="1:8" ht="12.75">
      <c r="A105" s="49"/>
      <c r="B105" s="1" t="s">
        <v>113</v>
      </c>
      <c r="C105" s="1" t="s">
        <v>114</v>
      </c>
      <c r="H105" s="50"/>
    </row>
    <row r="106" spans="1:8" ht="12.75">
      <c r="A106" s="49"/>
      <c r="H106" s="50"/>
    </row>
    <row r="107" spans="1:8" ht="12.75">
      <c r="A107" s="49"/>
      <c r="H107" s="50"/>
    </row>
    <row r="108" spans="1:8" ht="12.75">
      <c r="A108" s="54"/>
      <c r="B108" s="55"/>
      <c r="C108" s="55"/>
      <c r="D108" s="55"/>
      <c r="E108" s="55"/>
      <c r="F108" s="55"/>
      <c r="G108" s="55"/>
      <c r="H108" s="5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18"/>
  <sheetViews>
    <sheetView tabSelected="1" zoomScale="65" zoomScaleNormal="65" workbookViewId="0" topLeftCell="A1">
      <selection activeCell="P25" sqref="P25"/>
    </sheetView>
  </sheetViews>
  <sheetFormatPr defaultColWidth="13.7109375" defaultRowHeight="12.75"/>
  <cols>
    <col min="1" max="1" width="21.140625" style="1" customWidth="1"/>
    <col min="2" max="2" width="14.57421875" style="1" customWidth="1"/>
    <col min="3" max="3" width="20.57421875" style="1" customWidth="1"/>
    <col min="4" max="4" width="41.00390625" style="1" customWidth="1"/>
    <col min="5" max="5" width="29.421875" style="1" customWidth="1"/>
    <col min="6" max="16384" width="12.57421875" style="1" customWidth="1"/>
  </cols>
  <sheetData>
    <row r="3" spans="1:4" ht="12.75">
      <c r="A3"/>
      <c r="B3"/>
      <c r="C3"/>
      <c r="D3"/>
    </row>
    <row r="7" spans="1:14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2.75">
      <c r="A8" s="6" t="s">
        <v>10</v>
      </c>
      <c r="B8" s="7" t="s">
        <v>115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2.75">
      <c r="A9" s="6"/>
      <c r="B9" s="7" t="s">
        <v>116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2.75">
      <c r="A11" s="6"/>
      <c r="B11" s="7" t="s">
        <v>117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2.75">
      <c r="A13" s="46" t="s">
        <v>118</v>
      </c>
      <c r="B13" s="57"/>
      <c r="C13" s="3" t="s">
        <v>119</v>
      </c>
      <c r="D13" s="4" t="s">
        <v>120</v>
      </c>
      <c r="E13" s="4" t="s">
        <v>121</v>
      </c>
      <c r="F13" s="4" t="s">
        <v>122</v>
      </c>
      <c r="G13" s="4"/>
      <c r="H13" s="5"/>
      <c r="I13" s="7"/>
      <c r="J13" s="7"/>
      <c r="K13"/>
      <c r="L13" s="7"/>
      <c r="M13" s="7"/>
      <c r="N13" s="8"/>
    </row>
    <row r="14" spans="1:14" ht="12.75">
      <c r="A14" s="49" t="s">
        <v>123</v>
      </c>
      <c r="B14" s="58" t="s">
        <v>6</v>
      </c>
      <c r="C14" s="6" t="s">
        <v>124</v>
      </c>
      <c r="D14" s="7"/>
      <c r="E14" s="7"/>
      <c r="F14" s="7"/>
      <c r="G14" s="7"/>
      <c r="H14" s="8"/>
      <c r="I14" s="7"/>
      <c r="J14" s="7"/>
      <c r="K14" s="7"/>
      <c r="L14" s="7"/>
      <c r="M14" s="7"/>
      <c r="N14" s="8"/>
    </row>
    <row r="15" spans="1:14" ht="12.75">
      <c r="A15" s="49"/>
      <c r="B15" s="58"/>
      <c r="C15" s="59" t="s">
        <v>125</v>
      </c>
      <c r="D15" s="7"/>
      <c r="E15" s="7"/>
      <c r="F15" s="7" t="s">
        <v>126</v>
      </c>
      <c r="G15" s="7" t="s">
        <v>127</v>
      </c>
      <c r="H15" s="8"/>
      <c r="I15" s="7"/>
      <c r="J15" s="7"/>
      <c r="K15" s="7"/>
      <c r="L15" s="7"/>
      <c r="M15" s="7"/>
      <c r="N15" s="8"/>
    </row>
    <row r="16" spans="1:14" ht="12.75">
      <c r="A16" s="49"/>
      <c r="B16" s="58"/>
      <c r="C16" s="6"/>
      <c r="D16" s="7"/>
      <c r="E16" s="7"/>
      <c r="F16" s="7"/>
      <c r="G16" s="7"/>
      <c r="H16" s="8"/>
      <c r="I16" s="7"/>
      <c r="J16" s="7"/>
      <c r="K16" s="7"/>
      <c r="L16" s="7"/>
      <c r="M16" s="7"/>
      <c r="N16" s="8"/>
    </row>
    <row r="17" spans="1:14" ht="12.75">
      <c r="A17" s="49" t="s">
        <v>128</v>
      </c>
      <c r="B17" s="58">
        <v>3671</v>
      </c>
      <c r="C17" s="6">
        <v>1426.3</v>
      </c>
      <c r="D17" s="7">
        <v>840</v>
      </c>
      <c r="E17" s="7">
        <v>390</v>
      </c>
      <c r="F17" s="7"/>
      <c r="G17" s="7"/>
      <c r="H17" s="8"/>
      <c r="I17" s="7"/>
      <c r="J17" s="7"/>
      <c r="K17" s="7"/>
      <c r="L17" s="7"/>
      <c r="M17" s="7"/>
      <c r="N17" s="8"/>
    </row>
    <row r="18" spans="1:14" ht="12.75">
      <c r="A18" s="49" t="s">
        <v>129</v>
      </c>
      <c r="B18" s="58">
        <v>10877</v>
      </c>
      <c r="C18" s="6">
        <v>4226</v>
      </c>
      <c r="D18" s="7">
        <v>2070</v>
      </c>
      <c r="E18" s="7">
        <v>1150</v>
      </c>
      <c r="F18" s="7">
        <v>860</v>
      </c>
      <c r="G18" s="7">
        <v>1630</v>
      </c>
      <c r="H18" s="8"/>
      <c r="I18" s="7"/>
      <c r="J18" s="7"/>
      <c r="K18" s="7"/>
      <c r="L18" s="7"/>
      <c r="M18" s="7"/>
      <c r="N18" s="8"/>
    </row>
    <row r="19" spans="1:14" ht="12.75">
      <c r="A19" s="60" t="s">
        <v>130</v>
      </c>
      <c r="B19" s="56">
        <v>4800</v>
      </c>
      <c r="C19" s="27">
        <v>1867</v>
      </c>
      <c r="D19" s="61" t="s">
        <v>131</v>
      </c>
      <c r="E19" s="28">
        <v>500</v>
      </c>
      <c r="F19" s="28"/>
      <c r="G19" s="28"/>
      <c r="H19" s="38"/>
      <c r="I19" s="7"/>
      <c r="J19" s="7"/>
      <c r="K19" s="7"/>
      <c r="L19" s="7"/>
      <c r="M19" s="7"/>
      <c r="N19" s="8"/>
    </row>
    <row r="20" spans="1:14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12.75">
      <c r="A21" s="6"/>
      <c r="B21" s="7" t="s">
        <v>132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>
      <c r="A23" s="6"/>
      <c r="B23" s="7" t="s">
        <v>133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12.75">
      <c r="A24" s="6"/>
      <c r="B24" s="7"/>
      <c r="C24" s="62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ht="12.7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8"/>
    </row>
    <row r="27" spans="1:14" ht="12.75">
      <c r="A27" s="3"/>
      <c r="B27" s="4" t="s">
        <v>134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ht="12.75">
      <c r="A28" s="6" t="s">
        <v>135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ht="12.75">
      <c r="A30" s="6"/>
      <c r="B30" s="7"/>
      <c r="C30" s="7" t="s">
        <v>136</v>
      </c>
      <c r="D30" s="7"/>
      <c r="E30" s="7" t="s">
        <v>137</v>
      </c>
      <c r="F30" s="7"/>
      <c r="G30" s="7"/>
      <c r="H30" s="7"/>
      <c r="I30" s="7"/>
      <c r="J30" s="7"/>
      <c r="K30" s="7"/>
      <c r="L30" s="7"/>
      <c r="M30" s="7"/>
      <c r="N30" s="8"/>
    </row>
    <row r="31" spans="1:14" ht="12.75">
      <c r="A31" s="6"/>
      <c r="B31" s="7"/>
      <c r="C31" s="7">
        <v>10</v>
      </c>
      <c r="D31" s="7" t="s">
        <v>138</v>
      </c>
      <c r="E31" s="7" t="s">
        <v>139</v>
      </c>
      <c r="F31" s="7"/>
      <c r="G31" s="7"/>
      <c r="H31" s="7"/>
      <c r="I31" s="7"/>
      <c r="J31" s="7"/>
      <c r="K31" s="7"/>
      <c r="L31" s="7"/>
      <c r="M31" s="7"/>
      <c r="N31" s="8"/>
    </row>
    <row r="32" spans="1:14" ht="12.75">
      <c r="A32" s="6"/>
      <c r="B32" s="7"/>
      <c r="C32" s="7">
        <v>0.7</v>
      </c>
      <c r="D32" s="7" t="s">
        <v>140</v>
      </c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ht="12.75">
      <c r="A33" s="6"/>
      <c r="B33" s="7"/>
      <c r="C33" s="7">
        <v>3.17</v>
      </c>
      <c r="D33" s="7" t="s">
        <v>141</v>
      </c>
      <c r="E33" s="7"/>
      <c r="F33" s="7"/>
      <c r="G33" s="7"/>
      <c r="H33" s="7"/>
      <c r="I33" s="7"/>
      <c r="J33" s="7"/>
      <c r="K33" s="7"/>
      <c r="L33" s="7"/>
      <c r="M33" s="7"/>
      <c r="N33" s="8"/>
    </row>
    <row r="34" spans="1:14" ht="12.75">
      <c r="A34" s="6"/>
      <c r="B34" s="7"/>
      <c r="C34" s="7">
        <f>C31*C32*C33</f>
        <v>22.19</v>
      </c>
      <c r="D34" s="7" t="s">
        <v>142</v>
      </c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1:14" ht="12.7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8"/>
    </row>
    <row r="40" spans="1:13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1:13" ht="12.75">
      <c r="A41" s="6"/>
      <c r="B41" s="63"/>
      <c r="C41" s="7"/>
      <c r="D41" s="7"/>
      <c r="E41" s="7"/>
      <c r="F41" s="7" t="s">
        <v>143</v>
      </c>
      <c r="G41" s="7"/>
      <c r="H41" s="7"/>
      <c r="I41" s="7"/>
      <c r="J41" s="7"/>
      <c r="K41" s="7"/>
      <c r="L41" s="7"/>
      <c r="M41" s="8"/>
    </row>
    <row r="42" spans="1:13" ht="12.75">
      <c r="A42" s="6" t="s">
        <v>38</v>
      </c>
      <c r="B42" s="7"/>
      <c r="C42" s="7"/>
      <c r="D42" s="7"/>
      <c r="E42" s="7" t="s">
        <v>144</v>
      </c>
      <c r="F42" t="s">
        <v>145</v>
      </c>
      <c r="G42" s="7" t="s">
        <v>146</v>
      </c>
      <c r="H42" s="7" t="s">
        <v>147</v>
      </c>
      <c r="I42" s="7"/>
      <c r="J42" s="7" t="s">
        <v>148</v>
      </c>
      <c r="K42" s="7" t="s">
        <v>149</v>
      </c>
      <c r="L42" s="7" t="s">
        <v>150</v>
      </c>
      <c r="M42" s="8"/>
    </row>
    <row r="43" spans="1:13" ht="12.75">
      <c r="A43" s="6"/>
      <c r="B43" s="7"/>
      <c r="C43" s="7"/>
      <c r="D43" s="7"/>
      <c r="E43" s="7"/>
      <c r="F43" s="7">
        <v>0.24</v>
      </c>
      <c r="G43" s="64">
        <v>0.65</v>
      </c>
      <c r="H43" s="65">
        <f>F43/(1-G43)</f>
        <v>0.6857142857142857</v>
      </c>
      <c r="I43" s="7"/>
      <c r="J43" s="7"/>
      <c r="K43" s="7"/>
      <c r="L43" s="7"/>
      <c r="M43" s="8"/>
    </row>
    <row r="44" spans="1:13" ht="12.75">
      <c r="A44" s="6"/>
      <c r="B44" s="16" t="s">
        <v>151</v>
      </c>
      <c r="C44" s="7"/>
      <c r="D44" t="s">
        <v>152</v>
      </c>
      <c r="E44" s="63" t="s">
        <v>153</v>
      </c>
      <c r="F44" s="7"/>
      <c r="G44" s="7"/>
      <c r="H44" s="7"/>
      <c r="I44" s="7"/>
      <c r="J44" s="24">
        <f>3600*H43</f>
        <v>2468.5714285714284</v>
      </c>
      <c r="K44" s="66">
        <v>250</v>
      </c>
      <c r="L44" s="24">
        <f>J44*320/K44</f>
        <v>3159.7714285714283</v>
      </c>
      <c r="M44" s="8"/>
    </row>
    <row r="45" spans="1:13" ht="12.75">
      <c r="A45" s="6"/>
      <c r="B45" s="7"/>
      <c r="C45" s="7"/>
      <c r="D45" s="7" t="s">
        <v>154</v>
      </c>
      <c r="E45" s="7"/>
      <c r="F45" s="7"/>
      <c r="G45" s="7"/>
      <c r="H45" s="7"/>
      <c r="I45" s="7"/>
      <c r="J45" s="7"/>
      <c r="K45" s="66"/>
      <c r="L45" s="7"/>
      <c r="M45" s="8"/>
    </row>
    <row r="46" spans="1:13" ht="12.75">
      <c r="A46" s="6"/>
      <c r="B46" s="7" t="s">
        <v>155</v>
      </c>
      <c r="C46" s="7"/>
      <c r="D46" s="7" t="s">
        <v>156</v>
      </c>
      <c r="E46" s="63" t="s">
        <v>157</v>
      </c>
      <c r="F46" s="7"/>
      <c r="G46" s="7"/>
      <c r="H46" s="7"/>
      <c r="I46" s="7"/>
      <c r="J46" s="24">
        <f>2000*H43</f>
        <v>1371.4285714285713</v>
      </c>
      <c r="K46" s="66">
        <v>250</v>
      </c>
      <c r="L46" s="24">
        <f>J46*320/K46</f>
        <v>1755.4285714285713</v>
      </c>
      <c r="M46" s="8"/>
    </row>
    <row r="47" spans="1:13" ht="12.75">
      <c r="A47" s="6"/>
      <c r="B47" s="7"/>
      <c r="C47" s="7"/>
      <c r="D47" s="7"/>
      <c r="E47" s="7"/>
      <c r="F47" s="7"/>
      <c r="G47" s="7"/>
      <c r="H47" s="7"/>
      <c r="I47" s="7"/>
      <c r="J47" s="24"/>
      <c r="K47" s="67"/>
      <c r="L47" s="7"/>
      <c r="M47" s="8"/>
    </row>
    <row r="48" spans="1:13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ht="12.75">
      <c r="A49" s="6"/>
      <c r="B49" s="7" t="s">
        <v>158</v>
      </c>
      <c r="C49" s="7"/>
      <c r="D49" s="7"/>
      <c r="E49" s="7"/>
      <c r="F49" s="7"/>
      <c r="G49" s="7"/>
      <c r="H49" s="7"/>
      <c r="I49" s="7"/>
      <c r="J49" s="7"/>
      <c r="K49" s="7"/>
      <c r="L49" s="7">
        <f>(L44+L46)/2</f>
        <v>2457.6</v>
      </c>
      <c r="M49" s="8"/>
    </row>
    <row r="50" spans="1:13" ht="12.75">
      <c r="A50" s="6"/>
      <c r="B50" s="7"/>
      <c r="C50" s="7"/>
      <c r="D50" s="7"/>
      <c r="E50" s="7"/>
      <c r="F50" s="7"/>
      <c r="G50" s="7" t="s">
        <v>159</v>
      </c>
      <c r="H50" s="7"/>
      <c r="I50" s="68">
        <f>5700/108</f>
        <v>52.77777777777778</v>
      </c>
      <c r="J50" s="7" t="s">
        <v>160</v>
      </c>
      <c r="K50" s="7"/>
      <c r="L50" s="69"/>
      <c r="M50" s="8"/>
    </row>
    <row r="51" spans="1:13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1:13" ht="12.75">
      <c r="A52" s="6" t="s">
        <v>161</v>
      </c>
      <c r="B52" s="7" t="s">
        <v>162</v>
      </c>
      <c r="C52" s="7" t="s">
        <v>163</v>
      </c>
      <c r="D52" s="7"/>
      <c r="E52" s="7"/>
      <c r="F52" s="7"/>
      <c r="G52" s="7"/>
      <c r="H52" s="7"/>
      <c r="I52"/>
      <c r="J52"/>
      <c r="K52"/>
      <c r="L52" s="7"/>
      <c r="M52" s="8"/>
    </row>
    <row r="53" spans="1:13" ht="12.7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1:13" ht="12.75">
      <c r="A54" s="6"/>
      <c r="B54" s="7" t="s">
        <v>164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ht="12.75">
      <c r="A55" s="6"/>
      <c r="B55" s="7" t="s">
        <v>165</v>
      </c>
      <c r="C55" s="9">
        <f>34/5.82</f>
        <v>5.841924398625429</v>
      </c>
      <c r="D55" s="7" t="s">
        <v>166</v>
      </c>
      <c r="E55" s="7"/>
      <c r="F55" s="7"/>
      <c r="G55" s="7"/>
      <c r="H55" s="7"/>
      <c r="I55" s="7"/>
      <c r="J55" s="7"/>
      <c r="K55" s="7"/>
      <c r="L55" s="7"/>
      <c r="M55" s="8"/>
    </row>
    <row r="56" spans="1:13" ht="12.75">
      <c r="A56" s="6"/>
      <c r="B56" s="7" t="s">
        <v>167</v>
      </c>
      <c r="C56" s="9">
        <f>36/3.17</f>
        <v>11.35646687697161</v>
      </c>
      <c r="D56" s="7" t="s">
        <v>166</v>
      </c>
      <c r="E56" s="7"/>
      <c r="F56" s="7"/>
      <c r="G56" s="7"/>
      <c r="H56" s="7"/>
      <c r="I56" s="7"/>
      <c r="J56" s="7"/>
      <c r="K56" s="7"/>
      <c r="L56" s="7"/>
      <c r="M56" s="8"/>
    </row>
    <row r="57" spans="1:13" ht="12.75">
      <c r="A57" s="6"/>
      <c r="B57" s="7" t="s">
        <v>168</v>
      </c>
      <c r="C57" s="9">
        <f>28/4.48</f>
        <v>6.249999999999999</v>
      </c>
      <c r="D57" s="7" t="s">
        <v>166</v>
      </c>
      <c r="E57" s="7"/>
      <c r="F57" s="7"/>
      <c r="G57" s="7"/>
      <c r="H57" s="7"/>
      <c r="I57" s="7"/>
      <c r="J57" s="7"/>
      <c r="K57" s="7"/>
      <c r="L57" s="7"/>
      <c r="M57" s="8"/>
    </row>
    <row r="58" spans="1:13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1:13" ht="12.75">
      <c r="A59" s="6"/>
      <c r="B59" s="7"/>
      <c r="C59" s="7" t="s">
        <v>169</v>
      </c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ht="12.75">
      <c r="A60" s="6"/>
      <c r="B60" s="7"/>
      <c r="C60" s="7">
        <v>10.2</v>
      </c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pans="1:13" ht="12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8"/>
    </row>
    <row r="68" spans="1:14" ht="12.7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/>
    </row>
    <row r="69" spans="1:14" ht="12.75">
      <c r="A69" s="49"/>
      <c r="N69" s="50"/>
    </row>
    <row r="70" spans="1:14" ht="12.75">
      <c r="A70" s="49"/>
      <c r="N70" s="50"/>
    </row>
    <row r="71" spans="1:14" ht="12.75">
      <c r="A71" s="49"/>
      <c r="N71" s="50"/>
    </row>
    <row r="72" spans="1:14" ht="12.75">
      <c r="A72" s="49"/>
      <c r="N72" s="50"/>
    </row>
    <row r="73" spans="1:14" ht="12.75">
      <c r="A73" s="49" t="s">
        <v>170</v>
      </c>
      <c r="N73" s="50"/>
    </row>
    <row r="74" spans="1:14" ht="12.75">
      <c r="A74" s="49"/>
      <c r="N74" s="50"/>
    </row>
    <row r="75" spans="1:14" ht="12.75">
      <c r="A75" s="49"/>
      <c r="N75" s="50"/>
    </row>
    <row r="76" spans="1:14" ht="12.75">
      <c r="A76" s="49"/>
      <c r="B76" s="1" t="s">
        <v>171</v>
      </c>
      <c r="E76" s="1" t="s">
        <v>172</v>
      </c>
      <c r="N76" s="50"/>
    </row>
    <row r="77" spans="1:14" ht="12.75">
      <c r="A77" s="49"/>
      <c r="B77" s="1" t="s">
        <v>173</v>
      </c>
      <c r="N77" s="50"/>
    </row>
    <row r="78" spans="1:14" ht="12.75">
      <c r="A78" s="49" t="s">
        <v>174</v>
      </c>
      <c r="B78" s="1" t="s">
        <v>175</v>
      </c>
      <c r="N78" s="50"/>
    </row>
    <row r="79" spans="1:14" ht="12.75">
      <c r="A79" s="49" t="s">
        <v>176</v>
      </c>
      <c r="B79" s="1" t="s">
        <v>177</v>
      </c>
      <c r="N79" s="50"/>
    </row>
    <row r="80" spans="1:14" ht="12.75">
      <c r="A80" s="49" t="s">
        <v>178</v>
      </c>
      <c r="B80" s="1" t="s">
        <v>179</v>
      </c>
      <c r="N80" s="50"/>
    </row>
    <row r="81" spans="1:14" ht="12.75">
      <c r="A81" s="49" t="s">
        <v>180</v>
      </c>
      <c r="B81" s="1" t="s">
        <v>181</v>
      </c>
      <c r="N81" s="50"/>
    </row>
    <row r="82" spans="1:14" ht="12.75">
      <c r="A82" s="49" t="s">
        <v>18</v>
      </c>
      <c r="B82" s="1" t="s">
        <v>182</v>
      </c>
      <c r="N82" s="50"/>
    </row>
    <row r="83" spans="1:14" ht="12.75">
      <c r="A83" s="49" t="s">
        <v>183</v>
      </c>
      <c r="B83" s="1" t="s">
        <v>184</v>
      </c>
      <c r="N83" s="50"/>
    </row>
    <row r="84" spans="1:14" ht="12.75">
      <c r="A84" s="49" t="s">
        <v>185</v>
      </c>
      <c r="B84" s="1" t="s">
        <v>186</v>
      </c>
      <c r="N84" s="50"/>
    </row>
    <row r="85" spans="1:14" ht="12.75">
      <c r="A85" s="49" t="s">
        <v>187</v>
      </c>
      <c r="B85" s="1">
        <v>8.3</v>
      </c>
      <c r="N85" s="50"/>
    </row>
    <row r="86" spans="1:14" ht="12.75">
      <c r="A86" s="49" t="s">
        <v>188</v>
      </c>
      <c r="B86" s="1">
        <v>7.9</v>
      </c>
      <c r="N86" s="50"/>
    </row>
    <row r="87" spans="1:14" ht="12.75">
      <c r="A87" s="49" t="s">
        <v>40</v>
      </c>
      <c r="B87" s="1">
        <v>11.6</v>
      </c>
      <c r="N87" s="50"/>
    </row>
    <row r="88" spans="1:14" ht="12.75">
      <c r="A88" s="49" t="s">
        <v>189</v>
      </c>
      <c r="B88" s="1">
        <v>12</v>
      </c>
      <c r="N88" s="50"/>
    </row>
    <row r="89" spans="1:14" ht="12.75">
      <c r="A89" s="49" t="s">
        <v>190</v>
      </c>
      <c r="B89" s="1">
        <v>25</v>
      </c>
      <c r="N89" s="50"/>
    </row>
    <row r="90" spans="1:14" ht="12.75">
      <c r="A90" s="49" t="s">
        <v>191</v>
      </c>
      <c r="B90" s="1">
        <f>67/50</f>
        <v>1.34</v>
      </c>
      <c r="N90" s="50"/>
    </row>
    <row r="91" spans="1:14" ht="12.75">
      <c r="A91" s="49"/>
      <c r="N91" s="50"/>
    </row>
    <row r="92" spans="1:14" ht="12.75">
      <c r="A92" s="49" t="s">
        <v>192</v>
      </c>
      <c r="B92" s="1" t="s">
        <v>193</v>
      </c>
      <c r="N92" s="50"/>
    </row>
    <row r="93" spans="1:14" ht="12.75">
      <c r="A93" s="49"/>
      <c r="N93" s="50"/>
    </row>
    <row r="94" spans="1:14" ht="12.75">
      <c r="A94" s="49"/>
      <c r="N94" s="50"/>
    </row>
    <row r="95" spans="1:14" ht="12.75">
      <c r="A95" s="49"/>
      <c r="N95" s="50"/>
    </row>
    <row r="96" spans="1:14" ht="12.75">
      <c r="A96" s="49"/>
      <c r="N96" s="50"/>
    </row>
    <row r="97" spans="1:14" ht="12.75">
      <c r="A97" s="49"/>
      <c r="N97" s="50"/>
    </row>
    <row r="98" spans="1:14" ht="12.75">
      <c r="A98" s="49"/>
      <c r="N98" s="50"/>
    </row>
    <row r="99" spans="1:14" ht="12.75">
      <c r="A99" s="49"/>
      <c r="N99" s="50"/>
    </row>
    <row r="100" spans="1:14" ht="12.75">
      <c r="A100" s="49"/>
      <c r="N100" s="50"/>
    </row>
    <row r="101" spans="1:14" ht="12.75">
      <c r="A101" s="49"/>
      <c r="N101" s="50"/>
    </row>
    <row r="102" spans="1:14" ht="12.75">
      <c r="A102" s="49"/>
      <c r="N102" s="50"/>
    </row>
    <row r="103" spans="1:14" ht="12.75">
      <c r="A103" s="49"/>
      <c r="N103" s="50"/>
    </row>
    <row r="104" spans="1:14" ht="12.75">
      <c r="A104" s="49"/>
      <c r="N104" s="50"/>
    </row>
    <row r="105" spans="1:14" ht="12.75">
      <c r="A105" s="49"/>
      <c r="N105" s="50"/>
    </row>
    <row r="106" spans="1:14" ht="12.75">
      <c r="A106" s="49"/>
      <c r="N106" s="50"/>
    </row>
    <row r="107" spans="1:14" ht="12.75">
      <c r="A107" s="49"/>
      <c r="N107" s="50"/>
    </row>
    <row r="108" spans="1:14" ht="12.75">
      <c r="A108" s="49"/>
      <c r="N108" s="50"/>
    </row>
    <row r="109" spans="1:14" ht="12.75">
      <c r="A109" s="49"/>
      <c r="N109" s="50"/>
    </row>
    <row r="110" spans="1:14" ht="12.75">
      <c r="A110" s="49"/>
      <c r="N110" s="50"/>
    </row>
    <row r="111" spans="1:14" ht="12.75">
      <c r="A111" s="49"/>
      <c r="N111" s="50"/>
    </row>
    <row r="112" spans="1:14" ht="12.75">
      <c r="A112" s="49"/>
      <c r="N112" s="50"/>
    </row>
    <row r="113" spans="1:14" ht="12.75">
      <c r="A113" s="49"/>
      <c r="N113" s="50"/>
    </row>
    <row r="114" spans="1:14" ht="12.75">
      <c r="A114" s="49"/>
      <c r="N114" s="50"/>
    </row>
    <row r="115" spans="1:14" ht="12.75">
      <c r="A115" s="49"/>
      <c r="N115" s="50"/>
    </row>
    <row r="116" spans="1:14" ht="12.75">
      <c r="A116" s="49"/>
      <c r="N116" s="50"/>
    </row>
    <row r="117" spans="1:14" ht="12.75">
      <c r="A117" s="49"/>
      <c r="N117" s="50"/>
    </row>
    <row r="118" spans="1:14" ht="12.75">
      <c r="A118" s="49"/>
      <c r="N118" s="50"/>
    </row>
    <row r="119" spans="1:14" ht="12.75">
      <c r="A119" s="49"/>
      <c r="N119" s="50"/>
    </row>
    <row r="120" spans="1:14" ht="12.7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6"/>
    </row>
    <row r="123" spans="1:7" ht="12.75">
      <c r="A123" s="3"/>
      <c r="B123" s="4"/>
      <c r="C123" s="4"/>
      <c r="D123" s="4"/>
      <c r="E123" s="4"/>
      <c r="F123" s="4"/>
      <c r="G123" s="5"/>
    </row>
    <row r="124" spans="1:7" ht="12.75">
      <c r="A124" s="6"/>
      <c r="B124" s="7"/>
      <c r="C124" s="7"/>
      <c r="D124" s="7"/>
      <c r="E124" s="7"/>
      <c r="F124" s="7"/>
      <c r="G124" s="8"/>
    </row>
    <row r="125" spans="1:7" ht="12.75">
      <c r="A125" s="6" t="s">
        <v>194</v>
      </c>
      <c r="B125" s="7"/>
      <c r="C125" s="7"/>
      <c r="D125" s="7"/>
      <c r="E125" s="7"/>
      <c r="F125" s="7"/>
      <c r="G125" s="8"/>
    </row>
    <row r="126" spans="1:7" ht="12.75">
      <c r="A126" s="6"/>
      <c r="B126" s="7"/>
      <c r="C126" s="7"/>
      <c r="D126" s="7"/>
      <c r="E126" s="7"/>
      <c r="F126" s="7"/>
      <c r="G126" s="8"/>
    </row>
    <row r="127" spans="1:7" ht="12.75">
      <c r="A127" s="6"/>
      <c r="B127" s="7" t="s">
        <v>195</v>
      </c>
      <c r="C127" s="7"/>
      <c r="D127" s="7">
        <f>21*2.2</f>
        <v>46.2</v>
      </c>
      <c r="E127" s="7"/>
      <c r="F127" s="7"/>
      <c r="G127" s="8"/>
    </row>
    <row r="128" spans="1:7" ht="12.75">
      <c r="A128" s="6"/>
      <c r="B128" s="7" t="s">
        <v>196</v>
      </c>
      <c r="C128" s="7"/>
      <c r="D128" s="7">
        <f>15*2.2</f>
        <v>33</v>
      </c>
      <c r="E128" s="7"/>
      <c r="F128" s="7"/>
      <c r="G128" s="8"/>
    </row>
    <row r="129" spans="1:7" ht="12.75">
      <c r="A129" s="6"/>
      <c r="B129" s="7" t="s">
        <v>197</v>
      </c>
      <c r="C129" s="7"/>
      <c r="D129" s="7">
        <f>12*2.2</f>
        <v>26.400000000000002</v>
      </c>
      <c r="E129" s="7"/>
      <c r="F129" s="7"/>
      <c r="G129" s="8"/>
    </row>
    <row r="130" spans="1:7" ht="12.75">
      <c r="A130" s="6"/>
      <c r="B130" s="7" t="s">
        <v>198</v>
      </c>
      <c r="C130" s="7"/>
      <c r="D130" s="7">
        <f>7*2.2</f>
        <v>15.400000000000002</v>
      </c>
      <c r="E130" s="7"/>
      <c r="F130" s="7"/>
      <c r="G130" s="8"/>
    </row>
    <row r="131" spans="1:7" ht="12.75">
      <c r="A131" s="6"/>
      <c r="B131" s="7"/>
      <c r="C131" s="7"/>
      <c r="D131" s="7"/>
      <c r="E131" s="7"/>
      <c r="F131" s="7"/>
      <c r="G131" s="8"/>
    </row>
    <row r="132" spans="1:7" ht="12.75">
      <c r="A132" s="6"/>
      <c r="B132" s="7"/>
      <c r="C132" s="7"/>
      <c r="D132" s="7"/>
      <c r="E132" s="7"/>
      <c r="F132" s="7"/>
      <c r="G132" s="8"/>
    </row>
    <row r="133" spans="1:7" ht="12.75">
      <c r="A133" s="6"/>
      <c r="B133" s="7"/>
      <c r="C133" s="7"/>
      <c r="D133" s="7"/>
      <c r="E133" s="7"/>
      <c r="F133" s="7"/>
      <c r="G133" s="8"/>
    </row>
    <row r="134" spans="1:7" ht="12.75">
      <c r="A134" s="6"/>
      <c r="B134" s="7"/>
      <c r="C134" s="7"/>
      <c r="D134" s="7"/>
      <c r="E134" s="7"/>
      <c r="F134" s="7"/>
      <c r="G134" s="8"/>
    </row>
    <row r="135" spans="1:7" ht="12.75">
      <c r="A135" s="6"/>
      <c r="B135" s="7"/>
      <c r="C135" s="7"/>
      <c r="D135" s="7"/>
      <c r="E135" s="7"/>
      <c r="F135" s="7"/>
      <c r="G135" s="8"/>
    </row>
    <row r="136" spans="1:7" ht="12.75">
      <c r="A136" s="27"/>
      <c r="B136" s="28"/>
      <c r="C136" s="28"/>
      <c r="D136" s="28"/>
      <c r="E136" s="28"/>
      <c r="F136" s="28"/>
      <c r="G136" s="38"/>
    </row>
    <row r="139" spans="1:7" ht="12.75">
      <c r="A139" s="3"/>
      <c r="B139" s="4"/>
      <c r="C139" s="4"/>
      <c r="D139" s="4"/>
      <c r="E139" s="4"/>
      <c r="F139" s="4"/>
      <c r="G139" s="5"/>
    </row>
    <row r="140" spans="1:7" ht="12.75">
      <c r="A140" s="6"/>
      <c r="B140" s="7"/>
      <c r="C140" s="7"/>
      <c r="D140" s="7"/>
      <c r="E140" s="7"/>
      <c r="F140" s="7"/>
      <c r="G140" s="8"/>
    </row>
    <row r="141" spans="1:7" ht="12.75">
      <c r="A141" s="6" t="s">
        <v>199</v>
      </c>
      <c r="B141" s="7"/>
      <c r="C141" s="7"/>
      <c r="D141" s="7"/>
      <c r="E141" s="7"/>
      <c r="F141" s="7"/>
      <c r="G141" s="8"/>
    </row>
    <row r="142" spans="1:7" ht="12.75">
      <c r="A142" s="6"/>
      <c r="B142" s="7"/>
      <c r="C142" s="7"/>
      <c r="D142" s="7"/>
      <c r="E142" s="7"/>
      <c r="F142" s="7"/>
      <c r="G142" s="8"/>
    </row>
    <row r="143" spans="1:7" ht="12.75">
      <c r="A143" s="6"/>
      <c r="B143" s="7"/>
      <c r="C143" s="7"/>
      <c r="D143" s="7"/>
      <c r="E143" s="7"/>
      <c r="F143" s="7"/>
      <c r="G143" s="8"/>
    </row>
    <row r="144" spans="1:7" ht="12.75">
      <c r="A144" s="6"/>
      <c r="B144" s="7" t="s">
        <v>200</v>
      </c>
      <c r="C144" s="7"/>
      <c r="D144" s="7"/>
      <c r="E144" s="7"/>
      <c r="F144" s="7"/>
      <c r="G144" s="8"/>
    </row>
    <row r="145" spans="1:7" ht="12.75">
      <c r="A145" s="6"/>
      <c r="B145" s="7" t="s">
        <v>201</v>
      </c>
      <c r="C145" s="7"/>
      <c r="D145" s="7"/>
      <c r="E145" s="7"/>
      <c r="F145" s="7"/>
      <c r="G145" s="8"/>
    </row>
    <row r="146" spans="1:7" ht="12.75">
      <c r="A146" s="6"/>
      <c r="B146" s="7"/>
      <c r="C146" s="7"/>
      <c r="D146" s="7"/>
      <c r="E146" s="7"/>
      <c r="F146" s="7"/>
      <c r="G146" s="8"/>
    </row>
    <row r="147" spans="1:7" ht="12.75">
      <c r="A147" s="6"/>
      <c r="B147" s="7" t="s">
        <v>202</v>
      </c>
      <c r="C147" s="7"/>
      <c r="D147" s="7"/>
      <c r="E147" s="7"/>
      <c r="F147" s="7"/>
      <c r="G147" s="8"/>
    </row>
    <row r="148" spans="1:7" ht="12.75">
      <c r="A148" s="6"/>
      <c r="B148" s="7"/>
      <c r="C148" s="7"/>
      <c r="D148" s="7"/>
      <c r="E148" s="7"/>
      <c r="F148" s="7"/>
      <c r="G148" s="8"/>
    </row>
    <row r="149" spans="1:7" ht="12.75">
      <c r="A149" s="6"/>
      <c r="B149" s="7">
        <f>3000/4800</f>
        <v>0.625</v>
      </c>
      <c r="C149" s="7" t="s">
        <v>203</v>
      </c>
      <c r="D149" s="7" t="s">
        <v>204</v>
      </c>
      <c r="E149" s="7"/>
      <c r="F149" s="7"/>
      <c r="G149" s="8"/>
    </row>
    <row r="150" spans="1:7" ht="12.75">
      <c r="A150" s="6"/>
      <c r="B150" s="7"/>
      <c r="C150" s="7"/>
      <c r="D150" s="7"/>
      <c r="E150" s="7"/>
      <c r="F150" s="7"/>
      <c r="G150" s="8"/>
    </row>
    <row r="151" spans="1:7" ht="12.75">
      <c r="A151" s="6"/>
      <c r="B151" s="7"/>
      <c r="C151" s="7"/>
      <c r="D151" s="7"/>
      <c r="E151" s="7"/>
      <c r="F151" s="7"/>
      <c r="G151" s="8"/>
    </row>
    <row r="152" spans="1:7" ht="12.75">
      <c r="A152" s="6"/>
      <c r="B152" s="7"/>
      <c r="C152" s="7"/>
      <c r="D152" s="7"/>
      <c r="E152" s="7"/>
      <c r="F152" s="7"/>
      <c r="G152" s="8"/>
    </row>
    <row r="153" spans="1:7" ht="12.75">
      <c r="A153" s="27"/>
      <c r="B153" s="28"/>
      <c r="C153" s="28"/>
      <c r="D153" s="28"/>
      <c r="E153" s="28"/>
      <c r="F153" s="28"/>
      <c r="G153" s="38"/>
    </row>
    <row r="155" spans="1:13" ht="12.75">
      <c r="A155" s="46" t="s">
        <v>68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8"/>
    </row>
    <row r="156" spans="1:13" ht="12.75">
      <c r="A156" s="49"/>
      <c r="M156" s="50"/>
    </row>
    <row r="157" spans="1:13" ht="12.75">
      <c r="A157" s="49"/>
      <c r="M157" s="50"/>
    </row>
    <row r="158" spans="1:13" ht="12.75">
      <c r="A158" s="49" t="s">
        <v>205</v>
      </c>
      <c r="M158" s="50"/>
    </row>
    <row r="159" spans="1:13" ht="12.75">
      <c r="A159" s="49"/>
      <c r="B159" s="1" t="s">
        <v>206</v>
      </c>
      <c r="M159" s="50"/>
    </row>
    <row r="160" spans="1:13" ht="12.75">
      <c r="A160" s="49"/>
      <c r="B160" s="1" t="s">
        <v>207</v>
      </c>
      <c r="M160" s="50"/>
    </row>
    <row r="161" spans="1:13" ht="12.75">
      <c r="A161" s="49"/>
      <c r="B161" s="1" t="s">
        <v>208</v>
      </c>
      <c r="M161" s="50"/>
    </row>
    <row r="162" spans="1:13" ht="12.75">
      <c r="A162" s="49"/>
      <c r="B162" s="1" t="s">
        <v>209</v>
      </c>
      <c r="M162" s="50"/>
    </row>
    <row r="163" spans="1:13" ht="12.75">
      <c r="A163" s="49"/>
      <c r="B163" s="1" t="s">
        <v>210</v>
      </c>
      <c r="M163" s="50"/>
    </row>
    <row r="164" spans="1:13" ht="12.75">
      <c r="A164" s="49"/>
      <c r="B164" s="1" t="s">
        <v>211</v>
      </c>
      <c r="M164" s="50"/>
    </row>
    <row r="165" spans="1:13" ht="12.75">
      <c r="A165" s="49"/>
      <c r="M165" s="50"/>
    </row>
    <row r="166" spans="1:13" ht="12.75">
      <c r="A166" s="49" t="s">
        <v>93</v>
      </c>
      <c r="M166" s="50"/>
    </row>
    <row r="167" spans="1:13" ht="30" customHeight="1">
      <c r="A167" s="49" t="s">
        <v>212</v>
      </c>
      <c r="B167" s="70" t="s">
        <v>213</v>
      </c>
      <c r="C167" s="70" t="s">
        <v>214</v>
      </c>
      <c r="D167" s="70" t="s">
        <v>215</v>
      </c>
      <c r="E167" s="70" t="s">
        <v>216</v>
      </c>
      <c r="M167" s="50"/>
    </row>
    <row r="168" spans="1:13" ht="15" customHeight="1">
      <c r="A168" s="49"/>
      <c r="B168" s="70"/>
      <c r="C168" s="70"/>
      <c r="D168" s="70"/>
      <c r="E168" s="70"/>
      <c r="M168" s="50"/>
    </row>
    <row r="169" spans="1:13" ht="12.75">
      <c r="A169" s="49">
        <v>250</v>
      </c>
      <c r="B169" s="71" t="s">
        <v>217</v>
      </c>
      <c r="C169" s="72">
        <v>0.4</v>
      </c>
      <c r="D169" s="73">
        <v>200</v>
      </c>
      <c r="E169" s="74">
        <f>D169*C169/1000*A$169</f>
        <v>20</v>
      </c>
      <c r="M169" s="50"/>
    </row>
    <row r="170" spans="1:13" ht="12.75">
      <c r="A170" s="49"/>
      <c r="B170" s="71" t="s">
        <v>218</v>
      </c>
      <c r="C170" s="72">
        <v>0.30000000000000004</v>
      </c>
      <c r="D170" s="73">
        <v>150</v>
      </c>
      <c r="E170" s="74">
        <f>D170*C170/1000*A$169</f>
        <v>11.250000000000002</v>
      </c>
      <c r="M170" s="50"/>
    </row>
    <row r="171" spans="1:13" ht="12.75">
      <c r="A171" s="49"/>
      <c r="B171" s="71" t="s">
        <v>219</v>
      </c>
      <c r="C171" s="72">
        <v>0.05</v>
      </c>
      <c r="D171" s="73">
        <v>3560</v>
      </c>
      <c r="E171" s="74">
        <f>D171*C171/1000*A$169</f>
        <v>44.5</v>
      </c>
      <c r="M171" s="50"/>
    </row>
    <row r="172" spans="1:13" ht="12.75">
      <c r="A172" s="49"/>
      <c r="B172" s="71" t="s">
        <v>220</v>
      </c>
      <c r="C172" s="72">
        <v>0.1</v>
      </c>
      <c r="D172" s="73">
        <f>230*12/44</f>
        <v>62.72727272727273</v>
      </c>
      <c r="E172" s="74">
        <f>D172*C172/1000*A$169</f>
        <v>1.5681818181818183</v>
      </c>
      <c r="M172" s="50"/>
    </row>
    <row r="173" spans="1:13" ht="12.75">
      <c r="A173" s="49"/>
      <c r="B173" s="71" t="s">
        <v>221</v>
      </c>
      <c r="C173" s="72">
        <v>0.05</v>
      </c>
      <c r="D173" s="73">
        <v>3560</v>
      </c>
      <c r="E173" s="74">
        <f>D173*C173/1000*A$169</f>
        <v>44.5</v>
      </c>
      <c r="M173" s="50"/>
    </row>
    <row r="174" spans="1:13" ht="12.75">
      <c r="A174" s="49"/>
      <c r="B174" s="71" t="s">
        <v>222</v>
      </c>
      <c r="C174" s="72">
        <v>0</v>
      </c>
      <c r="D174" s="73">
        <v>910</v>
      </c>
      <c r="E174" s="74">
        <f>D174*C174/1000*A$169</f>
        <v>0</v>
      </c>
      <c r="M174" s="50"/>
    </row>
    <row r="175" spans="1:13" ht="12.75">
      <c r="A175" s="49"/>
      <c r="B175" s="71" t="s">
        <v>223</v>
      </c>
      <c r="C175" s="72">
        <v>0.15</v>
      </c>
      <c r="D175" s="73">
        <f>1100*12/44</f>
        <v>300</v>
      </c>
      <c r="E175" s="74">
        <f>D175*C175/1000*A$169</f>
        <v>11.25</v>
      </c>
      <c r="M175" s="50"/>
    </row>
    <row r="176" spans="1:13" ht="12.75">
      <c r="A176" s="49"/>
      <c r="B176" s="71" t="s">
        <v>224</v>
      </c>
      <c r="C176" s="72">
        <v>0.1</v>
      </c>
      <c r="D176" s="73">
        <v>2000</v>
      </c>
      <c r="E176" s="74">
        <f>D176*C176/1000*A$169</f>
        <v>50</v>
      </c>
      <c r="M176" s="50"/>
    </row>
    <row r="177" spans="1:13" ht="12.75">
      <c r="A177" s="49"/>
      <c r="B177" s="71"/>
      <c r="C177" s="72">
        <v>0</v>
      </c>
      <c r="D177" s="73">
        <v>1500</v>
      </c>
      <c r="E177" s="74">
        <f>D177*C177/1000*A$169</f>
        <v>0</v>
      </c>
      <c r="M177" s="50"/>
    </row>
    <row r="178" spans="1:13" ht="12.75">
      <c r="A178" s="49"/>
      <c r="B178" s="71"/>
      <c r="C178" s="72">
        <v>0</v>
      </c>
      <c r="D178" s="73">
        <v>3000</v>
      </c>
      <c r="E178" s="74">
        <f>D178*C178/1000*A$169</f>
        <v>0</v>
      </c>
      <c r="M178" s="50"/>
    </row>
    <row r="179" spans="1:13" ht="12.75">
      <c r="A179" s="49"/>
      <c r="B179" s="71" t="s">
        <v>225</v>
      </c>
      <c r="C179" s="72">
        <v>0</v>
      </c>
      <c r="D179" s="73">
        <v>490</v>
      </c>
      <c r="E179" s="74">
        <f>D179*C179/1000*A$169</f>
        <v>0</v>
      </c>
      <c r="M179" s="50"/>
    </row>
    <row r="180" spans="1:13" ht="12.75">
      <c r="A180" s="49"/>
      <c r="B180" s="71"/>
      <c r="C180" s="72">
        <v>0</v>
      </c>
      <c r="D180" s="73">
        <v>850</v>
      </c>
      <c r="E180" s="74">
        <f>D180*C180/1000*A$169</f>
        <v>0</v>
      </c>
      <c r="M180" s="50"/>
    </row>
    <row r="181" spans="1:13" ht="12.75">
      <c r="A181" s="49"/>
      <c r="B181" s="71" t="s">
        <v>226</v>
      </c>
      <c r="C181" s="72">
        <v>0.2</v>
      </c>
      <c r="D181" s="73">
        <v>680</v>
      </c>
      <c r="E181" s="74">
        <f>D181*C181/1000*A$169</f>
        <v>34</v>
      </c>
      <c r="M181" s="50"/>
    </row>
    <row r="182" spans="1:13" ht="12.75">
      <c r="A182" s="49"/>
      <c r="B182" s="71" t="s">
        <v>227</v>
      </c>
      <c r="C182" s="72">
        <v>0.2</v>
      </c>
      <c r="D182" s="73">
        <v>450</v>
      </c>
      <c r="E182" s="74">
        <f>D182*C182/1000*A$169</f>
        <v>22.5</v>
      </c>
      <c r="M182" s="50"/>
    </row>
    <row r="183" spans="1:13" ht="12.75">
      <c r="A183" s="49"/>
      <c r="B183" s="71" t="s">
        <v>228</v>
      </c>
      <c r="C183" s="72">
        <v>0.2</v>
      </c>
      <c r="D183" s="73">
        <v>500</v>
      </c>
      <c r="E183" s="74">
        <f>D183*C183/1000*A$169</f>
        <v>25</v>
      </c>
      <c r="M183" s="50"/>
    </row>
    <row r="184" spans="1:13" ht="15" customHeight="1">
      <c r="A184" s="49"/>
      <c r="B184" s="75" t="s">
        <v>229</v>
      </c>
      <c r="C184" s="75"/>
      <c r="D184" s="75"/>
      <c r="E184" s="74">
        <f>SUM(E169:E183)</f>
        <v>264.5681818181818</v>
      </c>
      <c r="M184" s="50"/>
    </row>
    <row r="185" spans="1:13" ht="12.75">
      <c r="A185" s="49"/>
      <c r="M185" s="50"/>
    </row>
    <row r="186" spans="1:13" ht="12.75" customHeight="1">
      <c r="A186" s="49" t="s">
        <v>230</v>
      </c>
      <c r="B186" s="70" t="s">
        <v>213</v>
      </c>
      <c r="C186" s="70" t="s">
        <v>214</v>
      </c>
      <c r="D186" s="70" t="s">
        <v>215</v>
      </c>
      <c r="E186" s="70" t="s">
        <v>216</v>
      </c>
      <c r="M186" s="50"/>
    </row>
    <row r="187" spans="1:13" ht="12.75">
      <c r="A187" s="49"/>
      <c r="B187" s="70"/>
      <c r="C187" s="70"/>
      <c r="D187" s="70"/>
      <c r="E187" s="70"/>
      <c r="M187" s="50"/>
    </row>
    <row r="188" spans="1:13" ht="12.75">
      <c r="A188" s="49">
        <v>115</v>
      </c>
      <c r="B188" s="71" t="s">
        <v>217</v>
      </c>
      <c r="C188" s="72">
        <v>0.5</v>
      </c>
      <c r="D188" s="73">
        <v>200</v>
      </c>
      <c r="E188" s="74">
        <f>D188*C188/1000*A$188</f>
        <v>11.5</v>
      </c>
      <c r="M188" s="50"/>
    </row>
    <row r="189" spans="1:13" ht="12.75">
      <c r="A189" s="49"/>
      <c r="B189" s="71" t="s">
        <v>218</v>
      </c>
      <c r="C189" s="72">
        <v>0.2</v>
      </c>
      <c r="D189" s="73">
        <v>150</v>
      </c>
      <c r="E189" s="74">
        <f>D189*C189/1000*A$188</f>
        <v>3.4499999999999997</v>
      </c>
      <c r="M189" s="50"/>
    </row>
    <row r="190" spans="1:13" ht="12.75">
      <c r="A190" s="49"/>
      <c r="B190" s="71" t="s">
        <v>219</v>
      </c>
      <c r="C190" s="72">
        <v>0</v>
      </c>
      <c r="D190" s="73">
        <v>3560</v>
      </c>
      <c r="E190" s="74">
        <f>D190*C190/1000*A$188</f>
        <v>0</v>
      </c>
      <c r="M190" s="50"/>
    </row>
    <row r="191" spans="1:13" ht="12.75">
      <c r="A191" s="49"/>
      <c r="B191" s="71" t="s">
        <v>231</v>
      </c>
      <c r="C191" s="72">
        <v>0</v>
      </c>
      <c r="D191" s="73">
        <f>230*12/44</f>
        <v>62.72727272727273</v>
      </c>
      <c r="E191" s="74">
        <f>D191*C191/1000*A$188</f>
        <v>0</v>
      </c>
      <c r="M191" s="50"/>
    </row>
    <row r="192" spans="1:13" ht="12.75">
      <c r="A192" s="49"/>
      <c r="B192" s="71" t="s">
        <v>221</v>
      </c>
      <c r="C192" s="72">
        <v>0</v>
      </c>
      <c r="D192" s="73">
        <v>3560</v>
      </c>
      <c r="E192" s="74">
        <f>D192*C192/1000*A$188</f>
        <v>0</v>
      </c>
      <c r="M192" s="50"/>
    </row>
    <row r="193" spans="1:13" ht="12.75">
      <c r="A193" s="49"/>
      <c r="B193" s="71" t="s">
        <v>222</v>
      </c>
      <c r="C193" s="72">
        <v>0</v>
      </c>
      <c r="D193" s="73">
        <v>910</v>
      </c>
      <c r="E193" s="74">
        <f>D193*C193/1000*A$188</f>
        <v>0</v>
      </c>
      <c r="M193" s="50"/>
    </row>
    <row r="194" spans="1:13" ht="12.75">
      <c r="A194" s="49"/>
      <c r="B194" s="71" t="s">
        <v>223</v>
      </c>
      <c r="C194" s="72">
        <v>0</v>
      </c>
      <c r="D194" s="73">
        <f>1100*12/44</f>
        <v>300</v>
      </c>
      <c r="E194" s="74">
        <f>D194*C194/1000*A$188</f>
        <v>0</v>
      </c>
      <c r="M194" s="50"/>
    </row>
    <row r="195" spans="1:13" ht="12.75">
      <c r="A195" s="49"/>
      <c r="B195" s="71" t="s">
        <v>224</v>
      </c>
      <c r="C195" s="72">
        <v>0</v>
      </c>
      <c r="D195" s="73">
        <v>2000</v>
      </c>
      <c r="E195" s="74">
        <f>D195*C195/1000*A$188</f>
        <v>0</v>
      </c>
      <c r="M195" s="50"/>
    </row>
    <row r="196" spans="1:13" ht="12.75">
      <c r="A196" s="49"/>
      <c r="B196" s="71" t="s">
        <v>232</v>
      </c>
      <c r="C196" s="72">
        <v>0.1</v>
      </c>
      <c r="D196" s="73">
        <v>400</v>
      </c>
      <c r="E196" s="74">
        <f>D196*C196/1000*A$188</f>
        <v>4.6000000000000005</v>
      </c>
      <c r="F196" s="1" t="s">
        <v>233</v>
      </c>
      <c r="M196" s="50"/>
    </row>
    <row r="197" spans="1:13" ht="12.75">
      <c r="A197" s="49"/>
      <c r="B197" s="71" t="s">
        <v>234</v>
      </c>
      <c r="C197" s="72">
        <v>0.1</v>
      </c>
      <c r="D197" s="73">
        <v>400</v>
      </c>
      <c r="E197" s="74">
        <f>D197*C197/1000*A$188</f>
        <v>4.6000000000000005</v>
      </c>
      <c r="F197" s="1" t="s">
        <v>233</v>
      </c>
      <c r="M197" s="50"/>
    </row>
    <row r="198" spans="1:13" ht="12.75">
      <c r="A198" s="49"/>
      <c r="B198" s="71" t="s">
        <v>235</v>
      </c>
      <c r="C198" s="72">
        <v>0.15</v>
      </c>
      <c r="D198" s="73">
        <v>1000</v>
      </c>
      <c r="E198" s="74">
        <f>D198*C198/1000*A$188</f>
        <v>17.25</v>
      </c>
      <c r="F198" s="1" t="s">
        <v>233</v>
      </c>
      <c r="M198" s="50"/>
    </row>
    <row r="199" spans="1:13" ht="12.75">
      <c r="A199" s="49"/>
      <c r="B199" s="71"/>
      <c r="C199" s="72">
        <v>0</v>
      </c>
      <c r="D199" s="73">
        <v>850</v>
      </c>
      <c r="E199" s="74">
        <f>D199*C199/1000*A$188</f>
        <v>0</v>
      </c>
      <c r="M199" s="50"/>
    </row>
    <row r="200" spans="1:13" ht="12.75">
      <c r="A200" s="49"/>
      <c r="B200" s="71"/>
      <c r="C200" s="72">
        <v>0</v>
      </c>
      <c r="D200" s="73">
        <v>680</v>
      </c>
      <c r="E200" s="74">
        <f>D200*C200/1000*A$188</f>
        <v>0</v>
      </c>
      <c r="M200" s="50"/>
    </row>
    <row r="201" spans="1:13" ht="12.75">
      <c r="A201" s="49"/>
      <c r="B201" s="71" t="s">
        <v>227</v>
      </c>
      <c r="C201" s="72">
        <v>0.05</v>
      </c>
      <c r="D201" s="73">
        <v>450</v>
      </c>
      <c r="E201" s="74">
        <f>D201*C201/1000*A$188</f>
        <v>2.5875</v>
      </c>
      <c r="M201" s="50"/>
    </row>
    <row r="202" spans="1:13" ht="12.75">
      <c r="A202" s="49"/>
      <c r="B202" s="71" t="s">
        <v>236</v>
      </c>
      <c r="C202" s="72">
        <v>0.05</v>
      </c>
      <c r="D202" s="73">
        <f>3170/3.67</f>
        <v>863.7602179836513</v>
      </c>
      <c r="E202" s="74">
        <f>D202*C202/1000*A$188</f>
        <v>4.966621253405996</v>
      </c>
      <c r="M202" s="50"/>
    </row>
    <row r="203" spans="1:13" ht="15" customHeight="1">
      <c r="A203" s="49"/>
      <c r="B203" s="75" t="s">
        <v>229</v>
      </c>
      <c r="C203" s="75"/>
      <c r="D203" s="75"/>
      <c r="E203" s="74">
        <f>SUM(E188:E202)</f>
        <v>48.954121253406</v>
      </c>
      <c r="M203" s="50"/>
    </row>
    <row r="204" spans="1:13" ht="12.75">
      <c r="A204" s="49"/>
      <c r="M204" s="50"/>
    </row>
    <row r="205" spans="1:13" ht="12.75">
      <c r="A205" s="49"/>
      <c r="M205" s="50"/>
    </row>
    <row r="206" spans="1:13" ht="12.75">
      <c r="A206" s="49"/>
      <c r="M206" s="50"/>
    </row>
    <row r="207" spans="1:13" ht="12.7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6"/>
    </row>
    <row r="210" spans="1:7" ht="12.75">
      <c r="A210" s="46" t="s">
        <v>237</v>
      </c>
      <c r="B210" s="47"/>
      <c r="C210" s="47"/>
      <c r="D210" s="47"/>
      <c r="E210" s="47"/>
      <c r="F210" s="47"/>
      <c r="G210" s="48"/>
    </row>
    <row r="211" spans="1:7" ht="12.75">
      <c r="A211" s="49"/>
      <c r="G211" s="50"/>
    </row>
    <row r="212" spans="1:7" ht="12.75">
      <c r="A212" s="49" t="s">
        <v>238</v>
      </c>
      <c r="B212" s="1" t="s">
        <v>177</v>
      </c>
      <c r="D212" s="1" t="s">
        <v>239</v>
      </c>
      <c r="G212" s="50"/>
    </row>
    <row r="213" spans="1:7" ht="12.75">
      <c r="A213" s="49" t="s">
        <v>240</v>
      </c>
      <c r="B213" s="1">
        <f>C213*44/12</f>
        <v>1.6305683563748081</v>
      </c>
      <c r="C213" s="1">
        <f>193/434</f>
        <v>0.4447004608294931</v>
      </c>
      <c r="D213" s="1" t="s">
        <v>241</v>
      </c>
      <c r="G213" s="50"/>
    </row>
    <row r="214" spans="1:7" ht="12.75">
      <c r="A214" s="49"/>
      <c r="G214" s="50"/>
    </row>
    <row r="215" spans="1:7" ht="12.75">
      <c r="A215" s="49"/>
      <c r="G215" s="50"/>
    </row>
    <row r="216" spans="1:7" ht="12.75">
      <c r="A216" s="54"/>
      <c r="B216" s="55"/>
      <c r="C216" s="55"/>
      <c r="D216" s="55"/>
      <c r="E216" s="55"/>
      <c r="F216" s="55"/>
      <c r="G216" s="56"/>
    </row>
    <row r="218" spans="1:4" ht="12.75">
      <c r="A218" s="1" t="s">
        <v>242</v>
      </c>
      <c r="D218" s="1" t="s">
        <v>243</v>
      </c>
    </row>
  </sheetData>
  <sheetProtection selectLockedCells="1" selectUnlockedCells="1"/>
  <mergeCells count="10">
    <mergeCell ref="B167:B168"/>
    <mergeCell ref="C167:C168"/>
    <mergeCell ref="D167:D168"/>
    <mergeCell ref="E167:E168"/>
    <mergeCell ref="B184:D184"/>
    <mergeCell ref="B186:B187"/>
    <mergeCell ref="C186:C187"/>
    <mergeCell ref="D186:D187"/>
    <mergeCell ref="E186:E187"/>
    <mergeCell ref="B203:D20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="65" zoomScaleNormal="65" workbookViewId="0" topLeftCell="A39">
      <selection activeCell="B71" sqref="B71"/>
    </sheetView>
  </sheetViews>
  <sheetFormatPr defaultColWidth="13.7109375" defaultRowHeight="12.75"/>
  <cols>
    <col min="1" max="16384" width="12.57421875" style="1" customWidth="1"/>
  </cols>
  <sheetData>
    <row r="1" ht="12.75">
      <c r="A1" s="76" t="s">
        <v>244</v>
      </c>
    </row>
    <row r="2" ht="12.75">
      <c r="A2" s="77" t="s">
        <v>245</v>
      </c>
    </row>
    <row r="3" ht="12.75">
      <c r="A3" s="1" t="s">
        <v>246</v>
      </c>
    </row>
    <row r="4" ht="12.75">
      <c r="A4" s="1" t="s">
        <v>247</v>
      </c>
    </row>
    <row r="5" ht="12.75">
      <c r="A5" s="1" t="s">
        <v>248</v>
      </c>
    </row>
    <row r="6" ht="12.75">
      <c r="A6" s="1" t="s">
        <v>249</v>
      </c>
    </row>
    <row r="7" ht="12.75">
      <c r="A7" s="1" t="s">
        <v>250</v>
      </c>
    </row>
    <row r="8" ht="12.75">
      <c r="A8" s="1" t="s">
        <v>251</v>
      </c>
    </row>
    <row r="9" ht="12.75">
      <c r="A9" s="1" t="s">
        <v>252</v>
      </c>
    </row>
    <row r="11" spans="1:2" ht="12.75" customHeight="1">
      <c r="A11" s="78" t="s">
        <v>253</v>
      </c>
      <c r="B11" s="79" t="s">
        <v>254</v>
      </c>
    </row>
    <row r="12" spans="1:2" ht="12.75">
      <c r="A12" s="78"/>
      <c r="B12" s="80"/>
    </row>
    <row r="13" spans="1:2" ht="12.75">
      <c r="A13" s="78"/>
      <c r="B13" s="81" t="s">
        <v>255</v>
      </c>
    </row>
    <row r="14" spans="1:2" ht="12.75">
      <c r="A14" s="82" t="s">
        <v>256</v>
      </c>
      <c r="B14" s="82">
        <v>1</v>
      </c>
    </row>
    <row r="15" spans="1:2" ht="12.75">
      <c r="A15" s="82" t="s">
        <v>257</v>
      </c>
      <c r="B15" s="82">
        <v>21</v>
      </c>
    </row>
    <row r="16" spans="1:2" ht="12.75">
      <c r="A16" s="82" t="s">
        <v>258</v>
      </c>
      <c r="B16" s="82">
        <v>310</v>
      </c>
    </row>
    <row r="17" spans="1:2" ht="12.75">
      <c r="A17" s="82" t="s">
        <v>259</v>
      </c>
      <c r="B17" s="82">
        <v>3432</v>
      </c>
    </row>
    <row r="18" spans="1:2" ht="12.75">
      <c r="A18" s="82" t="s">
        <v>260</v>
      </c>
      <c r="B18" s="82" t="s">
        <v>261</v>
      </c>
    </row>
    <row r="19" spans="1:2" ht="12.75">
      <c r="A19" s="82" t="s">
        <v>262</v>
      </c>
      <c r="B19" s="82" t="s">
        <v>263</v>
      </c>
    </row>
    <row r="24" ht="12.75">
      <c r="A24" s="1" t="s">
        <v>264</v>
      </c>
    </row>
    <row r="25" ht="12.75">
      <c r="A25" s="1" t="s">
        <v>265</v>
      </c>
    </row>
    <row r="58" spans="1:5" ht="12.75">
      <c r="A58" s="1" t="s">
        <v>266</v>
      </c>
      <c r="C58" s="1" t="s">
        <v>267</v>
      </c>
      <c r="E58" s="1" t="s">
        <v>268</v>
      </c>
    </row>
  </sheetData>
  <sheetProtection selectLockedCells="1" selectUnlockedCells="1"/>
  <mergeCells count="1">
    <mergeCell ref="A11:A1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 GILET</cp:lastModifiedBy>
  <dcterms:modified xsi:type="dcterms:W3CDTF">2015-05-24T17:32:35Z</dcterms:modified>
  <cp:category/>
  <cp:version/>
  <cp:contentType/>
  <cp:contentStatus/>
  <cp:revision>30</cp:revision>
</cp:coreProperties>
</file>